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120" windowWidth="13725" windowHeight="12165" activeTab="4"/>
  </bookViews>
  <sheets>
    <sheet name="Parameter" sheetId="1" r:id="rId1"/>
    <sheet name="Pflegegeld" sheetId="2" r:id="rId2"/>
    <sheet name="Einkommen" sheetId="3" r:id="rId3"/>
    <sheet name="Unterhalt" sheetId="4" r:id="rId4"/>
    <sheet name="Eingabeblatt" sheetId="5" r:id="rId5"/>
  </sheets>
  <definedNames/>
  <calcPr fullCalcOnLoad="1"/>
</workbook>
</file>

<file path=xl/comments2.xml><?xml version="1.0" encoding="utf-8"?>
<comments xmlns="http://schemas.openxmlformats.org/spreadsheetml/2006/main">
  <authors>
    <author>U0319309</author>
  </authors>
  <commentList>
    <comment ref="D13" authorId="0">
      <text>
        <r>
          <rPr>
            <b/>
            <sz val="8"/>
            <rFont val="Tahoma"/>
            <family val="2"/>
          </rPr>
          <t>10% des Pflegegeldes der Stufe 3 müssen übrig bleiben</t>
        </r>
        <r>
          <rPr>
            <sz val="8"/>
            <rFont val="Tahoma"/>
            <family val="2"/>
          </rPr>
          <t xml:space="preserve">
</t>
        </r>
      </text>
    </comment>
  </commentList>
</comments>
</file>

<file path=xl/comments5.xml><?xml version="1.0" encoding="utf-8"?>
<comments xmlns="http://schemas.openxmlformats.org/spreadsheetml/2006/main">
  <authors>
    <author>P?RNBACHER Christoph</author>
    <author>ALBER Margot</author>
  </authors>
  <commentList>
    <comment ref="B22" authorId="0">
      <text>
        <r>
          <rPr>
            <sz val="9"/>
            <rFont val="Tahoma"/>
            <family val="2"/>
          </rPr>
          <t>In dieser Spalte müssen alle Daten aus Sicht des Vaters eingegeben werden. Die Daten aus Sicht der Mutter sind in der nächsten Spalte einzugeben. Es müssen beide Spalten befüllt werden, um eine Kostenbeitragsverpflichtung sowohl des Vaters als auch der Mutter berechnen zu können.
Ausnahme: § 4 Abs. 5 Kostenbeitrags-Verordnung - die Kostenbeitragspflicht ist bei Inanspruchnahme der Leistungen Tagesbetreuung für Kinder und Jugendliche, Internat und für Vollzeitbegleitetes Wohnen für Kinder und Jugendliche inklusive Tagesstruktur - Sozialpsychiatrie nur aus dem Einkommen des besser verdienenden Elternteiles zu berechnen.</t>
        </r>
      </text>
    </comment>
    <comment ref="C22" authorId="0">
      <text>
        <r>
          <rPr>
            <sz val="9"/>
            <rFont val="Tahoma"/>
            <family val="2"/>
          </rPr>
          <t>In dieser Spalte müssen alle Daten aus Sicht der Mutter eingegeben werden. Die Daten aus Sicht des Vaters sind in der vorhergehenden Spalte einzugeben. Es müssen beide Spalten befüllt werden, um eine Kostenbeitragsverpflichtung sowohl des Vaters als auch der Mutter berechnen zu können.
Ausnahme: § 4 Abs. 5 Kostenbeitrags-Verordnung - die Kostenbeitragspflicht ist bei Inanspruchnahme der Leistungen Tagesbetreuung für Kinder und Jugendliche, Internat und für Vollzeitbegleitetes Wohnen für Kinder und Jugendliche inklusive Tagesstruktur - Sozialpsychiatrie nur aus dem Einkommen des besser verdienenden Elternteiles zu berechnen.</t>
        </r>
      </text>
    </comment>
    <comment ref="B3" authorId="0">
      <text>
        <r>
          <rPr>
            <sz val="9"/>
            <rFont val="Tahoma"/>
            <family val="2"/>
          </rPr>
          <t xml:space="preserve">In den violetten Felder ist für die zutreffende Leistung ein "j" einzugeben, um für diese den Kostenbeitrag zu berechnen. Es kann immer nur für eine Leistung ein j eingegeben werden.
</t>
        </r>
      </text>
    </comment>
    <comment ref="D37" authorId="1">
      <text>
        <r>
          <rPr>
            <b/>
            <sz val="9"/>
            <rFont val="Tahoma"/>
            <family val="0"/>
          </rPr>
          <t xml:space="preserve">Hinweis für halbtägige Tagesstruktur:
Bei der Berechnung von Halbtagesleistungen wird der Kostenbeitrag bereits halbiert errechnet (siehe Kostenbeitrag pro Einheit), weshalb in diesem Feld Ganztageseinheiten ausgewiesen werden.   </t>
        </r>
      </text>
    </comment>
  </commentList>
</comments>
</file>

<file path=xl/sharedStrings.xml><?xml version="1.0" encoding="utf-8"?>
<sst xmlns="http://schemas.openxmlformats.org/spreadsheetml/2006/main" count="209" uniqueCount="131">
  <si>
    <t>Name:</t>
  </si>
  <si>
    <t>Auszahlungsbetrag Pflegegeld</t>
  </si>
  <si>
    <t>mtl. Nettoeinkommen</t>
  </si>
  <si>
    <t>Anzahl der Unterhaltsberechtigten</t>
  </si>
  <si>
    <t>a) Kinderunterhalt (Anspruch des behinderten Kindes gegenüber Eltern)</t>
  </si>
  <si>
    <t>Alter des Maßnahmenempfängers</t>
  </si>
  <si>
    <t>Nettoeinkommen des Ehepartners</t>
  </si>
  <si>
    <t>Anzahl der weiteren Unterhaltsberechtigten</t>
  </si>
  <si>
    <t>Anzahl der weiteren Unterhaltsberechtigten unter 10 Jahren</t>
  </si>
  <si>
    <t>Anzahl der weiteren Unterhaltsberechtigten über 10 Jahren</t>
  </si>
  <si>
    <t>Kostenbeitrag aus Pflegegeld</t>
  </si>
  <si>
    <t>Kostenbeitrag aus eigenem Einkommen</t>
  </si>
  <si>
    <t>Kostenbeitrag aus Unterhalt</t>
  </si>
  <si>
    <t>Kostenbeitrag pro Monat</t>
  </si>
  <si>
    <t>Nettoeinkommen des Verpflichteten</t>
  </si>
  <si>
    <t>Nettoeinkommen des Maßnahmenempfängers</t>
  </si>
  <si>
    <t>Gesamtkostenbeitrag pro Monat</t>
  </si>
  <si>
    <t>n</t>
  </si>
  <si>
    <t>EINKOMMEN</t>
  </si>
  <si>
    <t>Alleinstehend ohne Unterhaltsverpflichtung</t>
  </si>
  <si>
    <t>1. Unterhaltsberechtigter</t>
  </si>
  <si>
    <t>2. Unterhaltsberechtigter</t>
  </si>
  <si>
    <t>3. Unterhaltsberechtigter</t>
  </si>
  <si>
    <t>4. Unterhaltsberechtigter</t>
  </si>
  <si>
    <t>5. Unterhaltsberechtigter</t>
  </si>
  <si>
    <t>Ehepartner</t>
  </si>
  <si>
    <t>Unterhalt</t>
  </si>
  <si>
    <t>Unterhaltsrest</t>
  </si>
  <si>
    <t>&lt;6</t>
  </si>
  <si>
    <t>&gt;=6 bis &lt;10</t>
  </si>
  <si>
    <t>&gt;=10 bis &lt;15</t>
  </si>
  <si>
    <t>&gt;=15</t>
  </si>
  <si>
    <t>einkommenslos bis 1/9</t>
  </si>
  <si>
    <t>&gt;1/9 bis &lt;=2/9</t>
  </si>
  <si>
    <t>&gt;2/9 bis &lt;= 3/9</t>
  </si>
  <si>
    <t xml:space="preserve">&gt;3/9 </t>
  </si>
  <si>
    <t>Unterhaltsberechtigte unter 10 Jahren</t>
  </si>
  <si>
    <t>Unterhaltsberechtigte über 10 Jahren</t>
  </si>
  <si>
    <t>2,5 facher Regelbedarf:</t>
  </si>
  <si>
    <t>&gt;=19 Jahre</t>
  </si>
  <si>
    <t>Ehegattenunterhalt:</t>
  </si>
  <si>
    <t>Nettoeinkommen des Unterhaltsberechtigten</t>
  </si>
  <si>
    <t>Ehegattenunterhalt</t>
  </si>
  <si>
    <t>Pflegegeldrest</t>
  </si>
  <si>
    <t>Pflegegeldstufe 1</t>
  </si>
  <si>
    <t>Pflegegeldstufe 2</t>
  </si>
  <si>
    <t>Pflegegeldstufe 3</t>
  </si>
  <si>
    <t>Pflegegeldstufe 4</t>
  </si>
  <si>
    <t>Pflegegeldstufe 5</t>
  </si>
  <si>
    <t>Pflegegeldstufe 6</t>
  </si>
  <si>
    <t>Pflegegeldstufe 7</t>
  </si>
  <si>
    <t>Tagesstruktur</t>
  </si>
  <si>
    <t>Wohnstruktur</t>
  </si>
  <si>
    <t>j</t>
  </si>
  <si>
    <t>Schule extern</t>
  </si>
  <si>
    <t>Einkommen - Selbstbehalt</t>
  </si>
  <si>
    <t>Summe Unterhaltsberechtigter 
(=Maßnahmenempfänger + Ehepartner ohne Einkommen + weitere Unterhaltsberechtigte)</t>
  </si>
  <si>
    <t>maßgebendes Existenzminimum
gemäß Summe Unterhaltsberechtigter</t>
  </si>
  <si>
    <t>Bedingung</t>
  </si>
  <si>
    <t>Existenzminimum gem. Anzahl Unterhaltsberechtigter</t>
  </si>
  <si>
    <t>Summe weitere Unterhaltsberechtigte</t>
  </si>
  <si>
    <t>Nettoeinkommen Ehepartner</t>
  </si>
  <si>
    <t>Stunden pro Monat</t>
  </si>
  <si>
    <t>Summe Unterhaltsberechtigter 
(=Maßnahmenempfänger
+ Ehepartner ohne Einkommen
+ weitere Unterhaltsberechtigte)</t>
  </si>
  <si>
    <t>&gt;=4</t>
  </si>
  <si>
    <t>&gt;0</t>
  </si>
  <si>
    <t>Summe Unterhaltsberechtigter 
(=Maßnahmenempfänger ohne Einkommen + weitere Unterhaltsberechtigte)</t>
  </si>
  <si>
    <t>Summe Unterhaltsberechtigter 
(=Maßnahmenempfänger ohne Einkommen
+ weitere Unterhaltsberechtigte)</t>
  </si>
  <si>
    <t>&gt;=5</t>
  </si>
  <si>
    <t>Suchkriterium für "sverweis"</t>
  </si>
  <si>
    <t>Schule intern</t>
  </si>
  <si>
    <t>Wohngemeinschaften</t>
  </si>
  <si>
    <t>Kostenbeitrag</t>
  </si>
  <si>
    <t>Einkommen - Kostenbeitrag</t>
  </si>
  <si>
    <t>§ 291 b EO 75%</t>
  </si>
  <si>
    <t>Einkommen des Verpflichteten - Kostenbeitrag</t>
  </si>
  <si>
    <t>Vater</t>
  </si>
  <si>
    <t>Mutter</t>
  </si>
  <si>
    <t>Nettoeinkommen des Verpflichteten (Vater/Mutter)</t>
  </si>
  <si>
    <t>Nettoeinkommen des Ehepartners des Unterhaltsverpflichteten</t>
  </si>
  <si>
    <t>Schule extern halbtägig</t>
  </si>
  <si>
    <t>Kostenbeitrag pro Einheit (Arbeitstag, Kalendertag, Halbtag)</t>
  </si>
  <si>
    <t>Faktor</t>
  </si>
  <si>
    <t>maßgebender Kostenbeitrag</t>
  </si>
  <si>
    <t>strukturbezogener Kostenbeitrag</t>
  </si>
  <si>
    <t>maßgebende Struktur
gemäß Eingabetabelle</t>
  </si>
  <si>
    <t>Kommentar</t>
  </si>
  <si>
    <t>OZ</t>
  </si>
  <si>
    <t>Geb.Datum</t>
  </si>
  <si>
    <t>Person</t>
  </si>
  <si>
    <t>GZ</t>
  </si>
  <si>
    <t>Akt</t>
  </si>
  <si>
    <t>Mandant</t>
  </si>
  <si>
    <t>SBA</t>
  </si>
  <si>
    <t>Tagesstruktur iVm BMB</t>
  </si>
  <si>
    <t>b) Ehegattenunterhalt (Anspruch des Maßnahmenempfängers ohne Einkommen gegenüber Ehegatten)</t>
  </si>
  <si>
    <t>Anmerkungen</t>
  </si>
  <si>
    <t>Halbtagesstruktur</t>
  </si>
  <si>
    <t>Halbtagesstruktur iVm BMB</t>
  </si>
  <si>
    <t>Kostenbeitrag mit Berücksichtigung von 10%</t>
  </si>
  <si>
    <t>Kostenbeitragsrechner für ambulante und stationäre Leistungen</t>
  </si>
  <si>
    <t>BATH/BATI in Verbindung mit mobiler Begleitung (BMB) halbtägig</t>
  </si>
  <si>
    <t>Wohnen exkl. Tagesstruktur (BWH, BWHI),                                    Wohnen - Berufsvorbereitung (BVW)</t>
  </si>
  <si>
    <t>Maximal lt. VO für Tagesbetreuung Kinder- und Jugendliche</t>
  </si>
  <si>
    <t>Maximal lt. VO für Internat und Wohnen für Kinder- und Jugendliche</t>
  </si>
  <si>
    <t xml:space="preserve">Tagesstruktur (BATH, BATI), Berufsvorbereitung (BABV) </t>
  </si>
  <si>
    <t xml:space="preserve">Tagesstruktur (BATH, BATI), Berufsvorbereitung (BABV) - halbtägig </t>
  </si>
  <si>
    <r>
      <t>Gibt es einen Ehepartner des Unterhaltsverpflichteten? (j/n)</t>
    </r>
    <r>
      <rPr>
        <sz val="12"/>
        <color indexed="10"/>
        <rFont val="Arial"/>
        <family val="2"/>
      </rPr>
      <t>-Pflichtfeld</t>
    </r>
  </si>
  <si>
    <t>Tagesbetreuung für Kinder und Jugendliche (BLE,BLEI,BSE,BSEI)</t>
  </si>
  <si>
    <t>Tagesbetreuung für Kinder und Jugendliche halbtägig</t>
  </si>
  <si>
    <t>Internat (BLI, BLII, BSI, BSII), Vollzeitbegleitetes Wohnen für Kinder und Jugendliche inkl. Tagesstruktur - Sozialpsychiatrie ( PWGJ)</t>
  </si>
  <si>
    <t>Begleitetes Wohnen in einer Wohngemeinschaft (BWG), Begleitetes Wohnen exkl. bzw. inkl. Tagesstruktur - Sozialpsychatrie (PWG, PWGG)</t>
  </si>
  <si>
    <t xml:space="preserve">BATH/BATI in Verbindung mit mobiler Begleitung (BMB) </t>
  </si>
  <si>
    <t>Internat/Wohnen Kinder</t>
  </si>
  <si>
    <t>Tagesbetreuung extern halbtägig</t>
  </si>
  <si>
    <t>Tagesbetreuung extern</t>
  </si>
  <si>
    <t>NEU ab 01.01.2023</t>
  </si>
  <si>
    <t>NEU ab 01.01.2024</t>
  </si>
  <si>
    <t>Steuervorteile für Familien | Arbeiterkammer</t>
  </si>
  <si>
    <t>bis 5 Jahre</t>
  </si>
  <si>
    <t>&gt;=5 bis &lt;9 Jahre</t>
  </si>
  <si>
    <t>&gt;=9 bis &lt;14 Jahre</t>
  </si>
  <si>
    <t>&gt;=14 bis &lt;19 Jahre</t>
  </si>
  <si>
    <t>2,5 fache</t>
  </si>
  <si>
    <t>Unterhaltshöhe nach Alterstufen</t>
  </si>
  <si>
    <t>Berechnung der Unterhaltshöhe (Alimente) (oesterreich.gv.at)</t>
  </si>
  <si>
    <t>Für Ehegeattin je nach eigenem Einkommen</t>
  </si>
  <si>
    <t>Unterhaltsanspruch (Einkommenslos)</t>
  </si>
  <si>
    <t>Unterhaltsberechtigte (Minderung pro Kind)</t>
  </si>
  <si>
    <t>Unterhalt an Ehepartner</t>
  </si>
  <si>
    <t>Abzüge bei mehreren Unterhaltsberechtigten</t>
  </si>
</sst>
</file>

<file path=xl/styles.xml><?xml version="1.0" encoding="utf-8"?>
<styleSheet xmlns="http://schemas.openxmlformats.org/spreadsheetml/2006/main">
  <numFmts count="1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00"/>
    <numFmt numFmtId="165" formatCode="_-* #,##0.00\ [$€-407]_-;\-* #,##0.00\ [$€-407]_-;_-* &quot;-&quot;??\ [$€-407]_-;_-@_-"/>
    <numFmt numFmtId="166" formatCode="&quot;Ja&quot;;&quot;Ja&quot;;&quot;Nein&quot;"/>
    <numFmt numFmtId="167" formatCode="&quot;Wahr&quot;;&quot;Wahr&quot;;&quot;Falsch&quot;"/>
    <numFmt numFmtId="168" formatCode="&quot;Ein&quot;;&quot;Ein&quot;;&quot;Aus&quot;"/>
    <numFmt numFmtId="169" formatCode="[$€-2]\ #,##0.00_);[Red]\([$€-2]\ #,##0.00\)"/>
  </numFmts>
  <fonts count="60">
    <font>
      <sz val="10"/>
      <name val="Arial"/>
      <family val="0"/>
    </font>
    <font>
      <sz val="11"/>
      <color indexed="8"/>
      <name val="Calibri"/>
      <family val="2"/>
    </font>
    <font>
      <sz val="8"/>
      <name val="Arial"/>
      <family val="2"/>
    </font>
    <font>
      <sz val="10"/>
      <color indexed="10"/>
      <name val="Arial"/>
      <family val="2"/>
    </font>
    <font>
      <sz val="12"/>
      <name val="Arial"/>
      <family val="2"/>
    </font>
    <font>
      <b/>
      <sz val="12"/>
      <name val="Arial"/>
      <family val="2"/>
    </font>
    <font>
      <i/>
      <sz val="12"/>
      <name val="Arial"/>
      <family val="2"/>
    </font>
    <font>
      <b/>
      <sz val="12"/>
      <color indexed="10"/>
      <name val="Arial"/>
      <family val="2"/>
    </font>
    <font>
      <sz val="8"/>
      <name val="Tahoma"/>
      <family val="2"/>
    </font>
    <font>
      <b/>
      <sz val="8"/>
      <name val="Tahoma"/>
      <family val="2"/>
    </font>
    <font>
      <b/>
      <sz val="14"/>
      <color indexed="57"/>
      <name val="Arial"/>
      <family val="2"/>
    </font>
    <font>
      <b/>
      <sz val="12"/>
      <color indexed="57"/>
      <name val="Arial"/>
      <family val="2"/>
    </font>
    <font>
      <sz val="12"/>
      <color indexed="10"/>
      <name val="Arial"/>
      <family val="2"/>
    </font>
    <font>
      <i/>
      <sz val="11"/>
      <name val="Arial"/>
      <family val="2"/>
    </font>
    <font>
      <b/>
      <sz val="10"/>
      <name val="Arial"/>
      <family val="2"/>
    </font>
    <font>
      <sz val="9"/>
      <name val="Tahoma"/>
      <family val="2"/>
    </font>
    <font>
      <b/>
      <sz val="9"/>
      <name val="Tahoma"/>
      <family val="0"/>
    </font>
    <font>
      <i/>
      <sz val="9"/>
      <name val="Arial"/>
      <family val="2"/>
    </font>
    <font>
      <sz val="11"/>
      <color indexed="9"/>
      <name val="Calibri"/>
      <family val="2"/>
    </font>
    <font>
      <b/>
      <sz val="11"/>
      <color indexed="63"/>
      <name val="Calibri"/>
      <family val="2"/>
    </font>
    <font>
      <b/>
      <sz val="11"/>
      <color indexed="52"/>
      <name val="Calibri"/>
      <family val="2"/>
    </font>
    <font>
      <u val="single"/>
      <sz val="10"/>
      <color indexed="20"/>
      <name val="Arial"/>
      <family val="0"/>
    </font>
    <font>
      <sz val="11"/>
      <color indexed="62"/>
      <name val="Calibri"/>
      <family val="2"/>
    </font>
    <font>
      <b/>
      <sz val="11"/>
      <color indexed="8"/>
      <name val="Calibri"/>
      <family val="2"/>
    </font>
    <font>
      <i/>
      <sz val="11"/>
      <color indexed="23"/>
      <name val="Calibri"/>
      <family val="2"/>
    </font>
    <font>
      <sz val="11"/>
      <color indexed="17"/>
      <name val="Calibri"/>
      <family val="2"/>
    </font>
    <font>
      <u val="single"/>
      <sz val="10"/>
      <color indexed="12"/>
      <name val="Arial"/>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9"/>
      <color indexed="10"/>
      <name val="Arial"/>
      <family val="2"/>
    </font>
    <font>
      <b/>
      <sz val="10"/>
      <color indexed="10"/>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u val="single"/>
      <sz val="10"/>
      <color theme="11"/>
      <name val="Arial"/>
      <family val="0"/>
    </font>
    <font>
      <sz val="11"/>
      <color rgb="FF3F3F76"/>
      <name val="Calibri"/>
      <family val="2"/>
    </font>
    <font>
      <b/>
      <sz val="11"/>
      <color theme="1"/>
      <name val="Calibri"/>
      <family val="2"/>
    </font>
    <font>
      <i/>
      <sz val="11"/>
      <color rgb="FF7F7F7F"/>
      <name val="Calibri"/>
      <family val="2"/>
    </font>
    <font>
      <sz val="11"/>
      <color rgb="FF006100"/>
      <name val="Calibri"/>
      <family val="2"/>
    </font>
    <font>
      <u val="single"/>
      <sz val="10"/>
      <color theme="10"/>
      <name val="Arial"/>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9"/>
      <color rgb="FFFF0000"/>
      <name val="Arial"/>
      <family val="2"/>
    </font>
    <font>
      <b/>
      <sz val="10"/>
      <color rgb="FFFF0000"/>
      <name val="Arial"/>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CC99FF"/>
        <bgColor indexed="64"/>
      </patternFill>
    </fill>
    <fill>
      <patternFill patternType="solid">
        <fgColor rgb="FF92D050"/>
        <bgColor indexed="64"/>
      </patternFill>
    </fill>
    <fill>
      <patternFill patternType="solid">
        <fgColor indexed="46"/>
        <bgColor indexed="64"/>
      </patternFill>
    </fill>
  </fills>
  <borders count="6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medium"/>
      <right style="thin"/>
      <top style="thin"/>
      <bottom style="thin"/>
    </border>
    <border>
      <left style="medium"/>
      <right/>
      <top style="medium"/>
      <bottom style="medium"/>
    </border>
    <border>
      <left style="medium"/>
      <right style="thin"/>
      <top style="medium"/>
      <bottom style="thin"/>
    </border>
    <border>
      <left style="medium"/>
      <right/>
      <top style="thin"/>
      <bottom style="thin"/>
    </border>
    <border>
      <left style="medium"/>
      <right/>
      <top/>
      <bottom/>
    </border>
    <border>
      <left/>
      <right style="medium"/>
      <top/>
      <bottom/>
    </border>
    <border>
      <left/>
      <right style="medium"/>
      <top/>
      <bottom style="medium"/>
    </border>
    <border>
      <left style="medium"/>
      <right/>
      <top style="thin"/>
      <bottom/>
    </border>
    <border>
      <left style="medium"/>
      <right/>
      <top/>
      <bottom style="thin"/>
    </border>
    <border>
      <left style="medium"/>
      <right style="medium"/>
      <top style="medium"/>
      <bottom style="medium"/>
    </border>
    <border>
      <left style="medium"/>
      <right style="medium"/>
      <top style="thin"/>
      <bottom style="medium"/>
    </border>
    <border>
      <left style="medium"/>
      <right style="medium"/>
      <top/>
      <bottom/>
    </border>
    <border>
      <left style="medium"/>
      <right style="thin"/>
      <top style="thin"/>
      <bottom/>
    </border>
    <border>
      <left style="medium"/>
      <right style="thin"/>
      <top style="medium"/>
      <bottom style="medium"/>
    </border>
    <border>
      <left style="thin"/>
      <right style="thin"/>
      <top style="medium"/>
      <bottom style="medium"/>
    </border>
    <border>
      <left style="medium"/>
      <right style="thin"/>
      <top style="medium"/>
      <bottom/>
    </border>
    <border>
      <left style="thin"/>
      <right style="thin"/>
      <top style="medium"/>
      <bottom/>
    </border>
    <border>
      <left style="thin"/>
      <right style="thin"/>
      <top/>
      <bottom/>
    </border>
    <border>
      <left style="thin"/>
      <right style="thin"/>
      <top/>
      <bottom style="medium"/>
    </border>
    <border>
      <left style="thin"/>
      <right style="medium"/>
      <top style="medium"/>
      <bottom style="medium"/>
    </border>
    <border>
      <left style="thin"/>
      <right style="medium"/>
      <top style="medium"/>
      <bottom/>
    </border>
    <border>
      <left style="thin"/>
      <right style="medium"/>
      <top/>
      <bottom/>
    </border>
    <border>
      <left style="thin"/>
      <right style="medium"/>
      <top/>
      <bottom style="medium"/>
    </border>
    <border>
      <left style="medium"/>
      <right/>
      <top style="medium"/>
      <bottom style="thin"/>
    </border>
    <border>
      <left style="medium"/>
      <right/>
      <top style="thin"/>
      <bottom style="mediu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top/>
      <bottom style="thin"/>
    </border>
    <border>
      <left/>
      <right style="medium"/>
      <top/>
      <bottom style="thin"/>
    </border>
    <border>
      <left/>
      <right/>
      <top style="medium"/>
      <bottom style="medium"/>
    </border>
    <border>
      <left/>
      <right style="medium"/>
      <top style="medium"/>
      <bottom style="medium"/>
    </border>
    <border>
      <left style="medium"/>
      <right style="medium"/>
      <top/>
      <bottom style="medium"/>
    </border>
    <border>
      <left style="medium"/>
      <right style="medium"/>
      <top style="thin"/>
      <bottom style="thin"/>
    </border>
    <border>
      <left style="medium"/>
      <right style="medium"/>
      <top style="thin"/>
      <bottom/>
    </border>
    <border>
      <left style="medium"/>
      <right style="medium"/>
      <top/>
      <bottom style="thin"/>
    </border>
    <border>
      <left style="thin"/>
      <right style="medium"/>
      <top style="thin"/>
      <bottom style="thin"/>
    </border>
    <border>
      <left style="thin"/>
      <right/>
      <top style="thin"/>
      <bottom style="thin"/>
    </border>
    <border>
      <left/>
      <right/>
      <top style="thin"/>
      <bottom style="thin"/>
    </border>
    <border>
      <left/>
      <right style="medium"/>
      <top style="thin"/>
      <bottom style="thin"/>
    </border>
    <border>
      <left style="thin"/>
      <right style="thin"/>
      <top style="thin"/>
      <bottom/>
    </border>
    <border>
      <left style="thin"/>
      <right style="medium"/>
      <top style="thin"/>
      <bottom/>
    </border>
    <border>
      <left/>
      <right style="medium"/>
      <top style="thin"/>
      <bottom style="medium"/>
    </border>
    <border>
      <left/>
      <right style="medium"/>
      <top style="medium"/>
      <bottom style="thin"/>
    </border>
    <border>
      <left style="medium"/>
      <right style="medium"/>
      <top style="medium"/>
      <bottom/>
    </border>
    <border>
      <left style="thin"/>
      <right/>
      <top style="thin"/>
      <bottom/>
    </border>
    <border>
      <left/>
      <right style="medium"/>
      <top style="thin"/>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6" borderId="2" applyNumberFormat="0" applyAlignment="0" applyProtection="0"/>
    <xf numFmtId="0" fontId="42" fillId="0" borderId="0" applyNumberFormat="0" applyFill="0" applyBorder="0" applyAlignment="0" applyProtection="0"/>
    <xf numFmtId="41" fontId="0" fillId="0" borderId="0" applyFont="0" applyFill="0" applyBorder="0" applyAlignment="0" applyProtection="0"/>
    <xf numFmtId="0" fontId="43" fillId="27" borderId="2" applyNumberFormat="0" applyAlignment="0" applyProtection="0"/>
    <xf numFmtId="0" fontId="44" fillId="0" borderId="3" applyNumberFormat="0" applyFill="0" applyAlignment="0" applyProtection="0"/>
    <xf numFmtId="0" fontId="45" fillId="0" borderId="0" applyNumberFormat="0" applyFill="0" applyBorder="0" applyAlignment="0" applyProtection="0"/>
    <xf numFmtId="0" fontId="46" fillId="28" borderId="0" applyNumberFormat="0" applyBorder="0" applyAlignment="0" applyProtection="0"/>
    <xf numFmtId="43"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9" fillId="31" borderId="0" applyNumberFormat="0" applyBorder="0" applyAlignment="0" applyProtection="0"/>
    <xf numFmtId="0" fontId="0" fillId="0" borderId="0">
      <alignment/>
      <protection/>
    </xf>
    <xf numFmtId="0" fontId="0" fillId="0" borderId="0">
      <alignment/>
      <protection/>
    </xf>
    <xf numFmtId="0" fontId="38" fillId="0" borderId="0">
      <alignment/>
      <protection/>
    </xf>
    <xf numFmtId="0" fontId="50" fillId="0" borderId="0" applyNumberForma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32" borderId="9" applyNumberFormat="0" applyAlignment="0" applyProtection="0"/>
  </cellStyleXfs>
  <cellXfs count="155">
    <xf numFmtId="0" fontId="0" fillId="0" borderId="0" xfId="0" applyAlignment="1">
      <alignment/>
    </xf>
    <xf numFmtId="4" fontId="0" fillId="0" borderId="0" xfId="0" applyNumberFormat="1" applyAlignment="1">
      <alignment/>
    </xf>
    <xf numFmtId="9" fontId="0" fillId="0" borderId="0" xfId="0" applyNumberFormat="1" applyAlignment="1">
      <alignment/>
    </xf>
    <xf numFmtId="4" fontId="0" fillId="0" borderId="0" xfId="0" applyNumberFormat="1" applyFill="1" applyBorder="1" applyAlignment="1">
      <alignment/>
    </xf>
    <xf numFmtId="0" fontId="0" fillId="0" borderId="0" xfId="0" applyAlignment="1">
      <alignment horizontal="center"/>
    </xf>
    <xf numFmtId="4" fontId="0" fillId="0" borderId="0" xfId="0" applyNumberFormat="1" applyFill="1" applyBorder="1" applyAlignment="1">
      <alignment horizontal="right"/>
    </xf>
    <xf numFmtId="0" fontId="0" fillId="0" borderId="0" xfId="0" applyAlignment="1">
      <alignment wrapText="1"/>
    </xf>
    <xf numFmtId="3" fontId="0" fillId="0" borderId="0" xfId="0" applyNumberFormat="1" applyFill="1" applyBorder="1" applyAlignment="1">
      <alignment/>
    </xf>
    <xf numFmtId="3" fontId="0" fillId="0" borderId="0" xfId="0" applyNumberFormat="1" applyFill="1" applyBorder="1" applyAlignment="1">
      <alignment horizontal="right"/>
    </xf>
    <xf numFmtId="4" fontId="0" fillId="0" borderId="0" xfId="0" applyNumberFormat="1" applyAlignment="1">
      <alignment horizontal="right"/>
    </xf>
    <xf numFmtId="2" fontId="0" fillId="0" borderId="0" xfId="0" applyNumberFormat="1" applyAlignment="1">
      <alignment horizontal="right"/>
    </xf>
    <xf numFmtId="2" fontId="0" fillId="0" borderId="0" xfId="0" applyNumberFormat="1" applyAlignment="1">
      <alignment horizontal="center"/>
    </xf>
    <xf numFmtId="0" fontId="0" fillId="0" borderId="10" xfId="0" applyBorder="1" applyAlignment="1">
      <alignment/>
    </xf>
    <xf numFmtId="0" fontId="3" fillId="0" borderId="10" xfId="0" applyFont="1" applyBorder="1" applyAlignment="1">
      <alignment horizontal="center" textRotation="90" wrapText="1"/>
    </xf>
    <xf numFmtId="0" fontId="0" fillId="0" borderId="10" xfId="0" applyBorder="1" applyAlignment="1">
      <alignment horizontal="center" textRotation="90" wrapText="1"/>
    </xf>
    <xf numFmtId="4" fontId="0" fillId="0" borderId="10" xfId="0" applyNumberFormat="1" applyBorder="1" applyAlignment="1">
      <alignment horizontal="center" wrapText="1"/>
    </xf>
    <xf numFmtId="0" fontId="0" fillId="0" borderId="10" xfId="0" applyBorder="1" applyAlignment="1">
      <alignment horizontal="center" wrapText="1"/>
    </xf>
    <xf numFmtId="2" fontId="0" fillId="0" borderId="10" xfId="0" applyNumberFormat="1" applyBorder="1" applyAlignment="1">
      <alignment horizontal="center" wrapText="1"/>
    </xf>
    <xf numFmtId="2" fontId="0" fillId="0" borderId="10" xfId="0" applyNumberFormat="1" applyBorder="1" applyAlignment="1">
      <alignment horizontal="left"/>
    </xf>
    <xf numFmtId="2" fontId="0" fillId="0" borderId="0" xfId="0" applyNumberFormat="1" applyAlignment="1">
      <alignment/>
    </xf>
    <xf numFmtId="0" fontId="4" fillId="0" borderId="11" xfId="0" applyFont="1" applyBorder="1" applyAlignment="1">
      <alignment horizontal="right"/>
    </xf>
    <xf numFmtId="0" fontId="4" fillId="0" borderId="12" xfId="0" applyFont="1" applyBorder="1" applyAlignment="1">
      <alignment/>
    </xf>
    <xf numFmtId="0" fontId="5" fillId="0" borderId="12" xfId="0" applyFont="1" applyBorder="1" applyAlignment="1">
      <alignment/>
    </xf>
    <xf numFmtId="0" fontId="4" fillId="0" borderId="13" xfId="0" applyFont="1" applyBorder="1" applyAlignment="1">
      <alignment/>
    </xf>
    <xf numFmtId="0" fontId="4" fillId="0" borderId="14" xfId="0" applyFont="1" applyBorder="1" applyAlignment="1">
      <alignment/>
    </xf>
    <xf numFmtId="0" fontId="4" fillId="0" borderId="15" xfId="0" applyFont="1" applyBorder="1" applyAlignment="1">
      <alignment/>
    </xf>
    <xf numFmtId="0" fontId="3" fillId="0" borderId="0" xfId="0" applyFont="1" applyAlignment="1">
      <alignment/>
    </xf>
    <xf numFmtId="0" fontId="2" fillId="0" borderId="0" xfId="0" applyFont="1" applyAlignment="1">
      <alignment vertical="center" wrapText="1"/>
    </xf>
    <xf numFmtId="0" fontId="4" fillId="0" borderId="16" xfId="0" applyFont="1" applyBorder="1" applyAlignment="1">
      <alignment/>
    </xf>
    <xf numFmtId="0" fontId="4" fillId="0" borderId="17" xfId="0" applyFont="1" applyBorder="1" applyAlignment="1">
      <alignment/>
    </xf>
    <xf numFmtId="0" fontId="4" fillId="0" borderId="18" xfId="0" applyFont="1" applyBorder="1" applyAlignment="1">
      <alignment/>
    </xf>
    <xf numFmtId="0" fontId="4" fillId="0" borderId="19" xfId="0" applyFont="1" applyBorder="1" applyAlignment="1">
      <alignment/>
    </xf>
    <xf numFmtId="2" fontId="4" fillId="0" borderId="20" xfId="0" applyNumberFormat="1" applyFont="1" applyBorder="1" applyAlignment="1">
      <alignment/>
    </xf>
    <xf numFmtId="0" fontId="5" fillId="0" borderId="21" xfId="0" applyFont="1" applyBorder="1" applyAlignment="1">
      <alignment/>
    </xf>
    <xf numFmtId="0" fontId="4" fillId="0" borderId="22" xfId="0" applyFont="1" applyBorder="1" applyAlignment="1">
      <alignment/>
    </xf>
    <xf numFmtId="0" fontId="4" fillId="0" borderId="12" xfId="0" applyFont="1" applyBorder="1" applyAlignment="1">
      <alignment/>
    </xf>
    <xf numFmtId="0" fontId="4" fillId="0" borderId="0" xfId="0" applyFont="1" applyBorder="1" applyAlignment="1">
      <alignment horizontal="center"/>
    </xf>
    <xf numFmtId="0" fontId="5" fillId="0" borderId="0" xfId="0" applyFont="1" applyBorder="1" applyAlignment="1">
      <alignment/>
    </xf>
    <xf numFmtId="2" fontId="4" fillId="0" borderId="0" xfId="0" applyNumberFormat="1" applyFont="1" applyBorder="1" applyAlignment="1">
      <alignment horizontal="center"/>
    </xf>
    <xf numFmtId="0" fontId="4" fillId="0" borderId="0" xfId="0" applyFont="1" applyBorder="1" applyAlignment="1">
      <alignment/>
    </xf>
    <xf numFmtId="0" fontId="6" fillId="0" borderId="15" xfId="0" applyFont="1" applyBorder="1" applyAlignment="1">
      <alignment horizontal="left"/>
    </xf>
    <xf numFmtId="0" fontId="4" fillId="0" borderId="11" xfId="0" applyFont="1" applyBorder="1" applyAlignment="1">
      <alignment horizontal="left"/>
    </xf>
    <xf numFmtId="0" fontId="4" fillId="0" borderId="0" xfId="0" applyFont="1" applyAlignment="1">
      <alignment/>
    </xf>
    <xf numFmtId="0" fontId="7" fillId="0" borderId="12" xfId="0" applyFont="1" applyBorder="1" applyAlignment="1">
      <alignment/>
    </xf>
    <xf numFmtId="0" fontId="4" fillId="0" borderId="23" xfId="0" applyFont="1" applyBorder="1" applyAlignment="1">
      <alignment horizontal="left"/>
    </xf>
    <xf numFmtId="0" fontId="0" fillId="0" borderId="0" xfId="0" applyFont="1" applyAlignment="1">
      <alignment/>
    </xf>
    <xf numFmtId="0" fontId="0" fillId="0" borderId="24" xfId="0" applyBorder="1" applyAlignment="1">
      <alignment/>
    </xf>
    <xf numFmtId="0" fontId="0" fillId="0" borderId="25" xfId="0" applyFont="1" applyBorder="1" applyAlignment="1">
      <alignment horizontal="center" wrapText="1"/>
    </xf>
    <xf numFmtId="0" fontId="0" fillId="0" borderId="25" xfId="0" applyBorder="1" applyAlignment="1">
      <alignment horizontal="center"/>
    </xf>
    <xf numFmtId="0" fontId="0" fillId="0" borderId="26" xfId="0" applyBorder="1" applyAlignment="1">
      <alignment/>
    </xf>
    <xf numFmtId="0" fontId="0" fillId="0" borderId="27" xfId="0"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0" fontId="3" fillId="0" borderId="0" xfId="0" applyFont="1" applyAlignment="1">
      <alignment horizontal="left"/>
    </xf>
    <xf numFmtId="0" fontId="0" fillId="0" borderId="0" xfId="53">
      <alignment/>
      <protection/>
    </xf>
    <xf numFmtId="0" fontId="0" fillId="0" borderId="30" xfId="0"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0" fontId="0" fillId="0" borderId="33" xfId="0" applyBorder="1" applyAlignment="1">
      <alignment horizontal="center"/>
    </xf>
    <xf numFmtId="0" fontId="0" fillId="0" borderId="15" xfId="0" applyBorder="1" applyAlignment="1">
      <alignment/>
    </xf>
    <xf numFmtId="0" fontId="4" fillId="0" borderId="34" xfId="0" applyFont="1" applyBorder="1" applyAlignment="1">
      <alignment/>
    </xf>
    <xf numFmtId="0" fontId="4" fillId="0" borderId="35" xfId="0" applyFont="1" applyBorder="1" applyAlignment="1">
      <alignment/>
    </xf>
    <xf numFmtId="0" fontId="5" fillId="0" borderId="36" xfId="0" applyFont="1" applyBorder="1" applyAlignment="1">
      <alignment/>
    </xf>
    <xf numFmtId="0" fontId="4" fillId="0" borderId="37" xfId="0" applyFont="1" applyBorder="1" applyAlignment="1">
      <alignment/>
    </xf>
    <xf numFmtId="0" fontId="4" fillId="0" borderId="38" xfId="0" applyFont="1" applyBorder="1" applyAlignment="1">
      <alignment/>
    </xf>
    <xf numFmtId="0" fontId="0" fillId="0" borderId="0" xfId="0" applyBorder="1" applyAlignment="1">
      <alignment horizontal="center"/>
    </xf>
    <xf numFmtId="0" fontId="0" fillId="0" borderId="37" xfId="0" applyBorder="1" applyAlignment="1">
      <alignment horizontal="center"/>
    </xf>
    <xf numFmtId="0" fontId="0" fillId="0" borderId="36" xfId="0" applyBorder="1" applyAlignment="1">
      <alignment/>
    </xf>
    <xf numFmtId="0" fontId="0" fillId="0" borderId="39" xfId="0" applyBorder="1" applyAlignment="1">
      <alignment/>
    </xf>
    <xf numFmtId="0" fontId="0" fillId="0" borderId="40" xfId="0" applyBorder="1" applyAlignment="1">
      <alignment horizontal="center"/>
    </xf>
    <xf numFmtId="0" fontId="0" fillId="0" borderId="0" xfId="0" applyFont="1" applyAlignment="1">
      <alignment/>
    </xf>
    <xf numFmtId="2" fontId="0" fillId="0" borderId="0" xfId="0" applyNumberFormat="1" applyFont="1" applyAlignment="1">
      <alignment/>
    </xf>
    <xf numFmtId="0" fontId="5" fillId="0" borderId="0" xfId="0" applyFont="1" applyAlignment="1">
      <alignment/>
    </xf>
    <xf numFmtId="0" fontId="4" fillId="0" borderId="23" xfId="0" applyFont="1" applyBorder="1" applyAlignment="1">
      <alignment horizontal="left" wrapText="1"/>
    </xf>
    <xf numFmtId="0" fontId="4" fillId="0" borderId="11" xfId="0" applyFont="1" applyBorder="1" applyAlignment="1">
      <alignment horizontal="left" vertical="center" wrapText="1"/>
    </xf>
    <xf numFmtId="0" fontId="47" fillId="0" borderId="0" xfId="48" applyAlignment="1">
      <alignment/>
    </xf>
    <xf numFmtId="0" fontId="4" fillId="0" borderId="19" xfId="0" applyFont="1" applyBorder="1" applyAlignment="1" applyProtection="1">
      <alignment/>
      <protection locked="0"/>
    </xf>
    <xf numFmtId="0" fontId="4" fillId="0" borderId="41" xfId="0" applyFont="1" applyBorder="1" applyAlignment="1" applyProtection="1">
      <alignment/>
      <protection locked="0"/>
    </xf>
    <xf numFmtId="0" fontId="4" fillId="0" borderId="42" xfId="0" applyFont="1" applyBorder="1" applyAlignment="1" applyProtection="1">
      <alignment/>
      <protection locked="0"/>
    </xf>
    <xf numFmtId="0" fontId="4" fillId="0" borderId="11" xfId="0" applyFont="1" applyBorder="1" applyAlignment="1">
      <alignment horizontal="left" wrapText="1"/>
    </xf>
    <xf numFmtId="0" fontId="6" fillId="0" borderId="12" xfId="0" applyFont="1" applyBorder="1" applyAlignment="1">
      <alignment/>
    </xf>
    <xf numFmtId="0" fontId="6" fillId="0" borderId="43" xfId="0" applyFont="1" applyBorder="1" applyAlignment="1">
      <alignment/>
    </xf>
    <xf numFmtId="0" fontId="6" fillId="0" borderId="44" xfId="0" applyFont="1" applyBorder="1" applyAlignment="1">
      <alignment/>
    </xf>
    <xf numFmtId="0" fontId="13" fillId="0" borderId="36" xfId="0" applyFont="1" applyBorder="1" applyAlignment="1">
      <alignment/>
    </xf>
    <xf numFmtId="0" fontId="13" fillId="0" borderId="37" xfId="0" applyFont="1" applyBorder="1" applyAlignment="1">
      <alignment/>
    </xf>
    <xf numFmtId="2" fontId="4" fillId="0" borderId="45" xfId="0" applyNumberFormat="1" applyFont="1" applyBorder="1" applyAlignment="1">
      <alignment/>
    </xf>
    <xf numFmtId="0" fontId="4" fillId="0" borderId="14" xfId="0" applyFont="1" applyFill="1" applyBorder="1" applyAlignment="1">
      <alignment/>
    </xf>
    <xf numFmtId="2" fontId="14" fillId="0" borderId="0" xfId="0" applyNumberFormat="1" applyFont="1" applyAlignment="1">
      <alignment horizontal="center"/>
    </xf>
    <xf numFmtId="2" fontId="14" fillId="0" borderId="0" xfId="0" applyNumberFormat="1" applyFont="1" applyAlignment="1">
      <alignment/>
    </xf>
    <xf numFmtId="0" fontId="4" fillId="33" borderId="26" xfId="0" applyFont="1" applyFill="1" applyBorder="1" applyAlignment="1" applyProtection="1">
      <alignment/>
      <protection locked="0"/>
    </xf>
    <xf numFmtId="1" fontId="4" fillId="33" borderId="46" xfId="0" applyNumberFormat="1" applyFont="1" applyFill="1" applyBorder="1" applyAlignment="1" applyProtection="1">
      <alignment/>
      <protection locked="0"/>
    </xf>
    <xf numFmtId="0" fontId="4" fillId="33" borderId="46" xfId="0" applyFont="1" applyFill="1" applyBorder="1" applyAlignment="1" applyProtection="1">
      <alignment horizontal="right"/>
      <protection locked="0"/>
    </xf>
    <xf numFmtId="0" fontId="4" fillId="33" borderId="22" xfId="0" applyFont="1" applyFill="1" applyBorder="1" applyAlignment="1" applyProtection="1">
      <alignment/>
      <protection locked="0"/>
    </xf>
    <xf numFmtId="0" fontId="4" fillId="33" borderId="46" xfId="0" applyFont="1" applyFill="1" applyBorder="1" applyAlignment="1" applyProtection="1">
      <alignment/>
      <protection locked="0"/>
    </xf>
    <xf numFmtId="0" fontId="4" fillId="33" borderId="45" xfId="0" applyFont="1" applyFill="1" applyBorder="1" applyAlignment="1" applyProtection="1">
      <alignment/>
      <protection locked="0"/>
    </xf>
    <xf numFmtId="0" fontId="4" fillId="33" borderId="47" xfId="0" applyFont="1" applyFill="1" applyBorder="1" applyAlignment="1" applyProtection="1">
      <alignment/>
      <protection locked="0"/>
    </xf>
    <xf numFmtId="0" fontId="4" fillId="33" borderId="48" xfId="0" applyFont="1" applyFill="1" applyBorder="1" applyAlignment="1" applyProtection="1">
      <alignment/>
      <protection locked="0"/>
    </xf>
    <xf numFmtId="0" fontId="13" fillId="0" borderId="16" xfId="0" applyFont="1" applyBorder="1" applyAlignment="1">
      <alignment/>
    </xf>
    <xf numFmtId="2" fontId="4" fillId="0" borderId="16" xfId="0" applyNumberFormat="1" applyFont="1" applyFill="1" applyBorder="1" applyAlignment="1">
      <alignment/>
    </xf>
    <xf numFmtId="0" fontId="57" fillId="0" borderId="16" xfId="0" applyFont="1" applyBorder="1" applyAlignment="1">
      <alignment horizontal="center" wrapText="1"/>
    </xf>
    <xf numFmtId="0" fontId="14" fillId="0" borderId="0" xfId="0" applyFont="1" applyFill="1" applyAlignment="1">
      <alignment/>
    </xf>
    <xf numFmtId="0" fontId="14" fillId="0" borderId="0" xfId="0" applyFont="1" applyAlignment="1">
      <alignment/>
    </xf>
    <xf numFmtId="0" fontId="58" fillId="0" borderId="0" xfId="0" applyFont="1" applyAlignment="1">
      <alignment/>
    </xf>
    <xf numFmtId="0" fontId="0" fillId="13" borderId="0" xfId="0" applyFill="1" applyAlignment="1">
      <alignment/>
    </xf>
    <xf numFmtId="4" fontId="0" fillId="13" borderId="0" xfId="0" applyNumberFormat="1" applyFill="1" applyAlignment="1">
      <alignment/>
    </xf>
    <xf numFmtId="0" fontId="0" fillId="34" borderId="0" xfId="0" applyFill="1" applyAlignment="1">
      <alignment/>
    </xf>
    <xf numFmtId="4" fontId="0" fillId="34" borderId="0" xfId="0" applyNumberFormat="1" applyFill="1" applyAlignment="1">
      <alignment/>
    </xf>
    <xf numFmtId="4" fontId="0" fillId="0" borderId="0" xfId="0" applyNumberFormat="1" applyFill="1" applyAlignment="1">
      <alignment/>
    </xf>
    <xf numFmtId="0" fontId="14" fillId="16" borderId="0" xfId="0" applyFont="1" applyFill="1" applyAlignment="1">
      <alignment/>
    </xf>
    <xf numFmtId="0" fontId="14" fillId="16" borderId="0" xfId="0" applyFont="1" applyFill="1" applyAlignment="1">
      <alignment horizontal="center"/>
    </xf>
    <xf numFmtId="0" fontId="17" fillId="0" borderId="0" xfId="0" applyFont="1" applyAlignment="1">
      <alignment/>
    </xf>
    <xf numFmtId="0" fontId="14" fillId="4" borderId="0" xfId="0" applyFont="1" applyFill="1" applyAlignment="1">
      <alignment/>
    </xf>
    <xf numFmtId="0" fontId="0" fillId="4" borderId="0" xfId="0" applyFill="1" applyAlignment="1">
      <alignment/>
    </xf>
    <xf numFmtId="0" fontId="14" fillId="13" borderId="0" xfId="0" applyFont="1" applyFill="1" applyAlignment="1">
      <alignment/>
    </xf>
    <xf numFmtId="0" fontId="14" fillId="7" borderId="0" xfId="0" applyFont="1" applyFill="1" applyAlignment="1">
      <alignment/>
    </xf>
    <xf numFmtId="0" fontId="0" fillId="7" borderId="0" xfId="0" applyFill="1" applyAlignment="1">
      <alignment/>
    </xf>
    <xf numFmtId="0" fontId="5" fillId="2" borderId="13" xfId="0" applyFont="1" applyFill="1" applyBorder="1" applyAlignment="1">
      <alignment horizontal="center"/>
    </xf>
    <xf numFmtId="0" fontId="5" fillId="2" borderId="20" xfId="0" applyFont="1" applyFill="1" applyBorder="1" applyAlignment="1">
      <alignment horizontal="center"/>
    </xf>
    <xf numFmtId="0" fontId="4" fillId="0" borderId="10" xfId="0" applyFont="1" applyFill="1" applyBorder="1" applyAlignment="1" applyProtection="1">
      <alignment horizontal="center"/>
      <protection locked="0"/>
    </xf>
    <xf numFmtId="0" fontId="4" fillId="0" borderId="49" xfId="0" applyFont="1" applyFill="1" applyBorder="1" applyAlignment="1" applyProtection="1">
      <alignment horizontal="center"/>
      <protection locked="0"/>
    </xf>
    <xf numFmtId="0" fontId="4" fillId="35" borderId="10" xfId="0" applyFont="1" applyFill="1" applyBorder="1" applyAlignment="1" applyProtection="1">
      <alignment horizontal="center"/>
      <protection locked="0"/>
    </xf>
    <xf numFmtId="0" fontId="4" fillId="35" borderId="49" xfId="0" applyFont="1" applyFill="1" applyBorder="1" applyAlignment="1" applyProtection="1">
      <alignment horizontal="center"/>
      <protection locked="0"/>
    </xf>
    <xf numFmtId="0" fontId="4" fillId="35" borderId="50" xfId="0" applyFont="1" applyFill="1" applyBorder="1" applyAlignment="1" applyProtection="1">
      <alignment horizontal="center"/>
      <protection locked="0"/>
    </xf>
    <xf numFmtId="0" fontId="4" fillId="35" borderId="51" xfId="0" applyFont="1" applyFill="1" applyBorder="1" applyAlignment="1" applyProtection="1">
      <alignment horizontal="center"/>
      <protection locked="0"/>
    </xf>
    <xf numFmtId="0" fontId="4" fillId="35" borderId="52" xfId="0" applyFont="1" applyFill="1" applyBorder="1" applyAlignment="1" applyProtection="1">
      <alignment horizontal="center"/>
      <protection locked="0"/>
    </xf>
    <xf numFmtId="0" fontId="4" fillId="35" borderId="12" xfId="0" applyFont="1" applyFill="1" applyBorder="1" applyAlignment="1" applyProtection="1">
      <alignment horizontal="center"/>
      <protection locked="0"/>
    </xf>
    <xf numFmtId="0" fontId="4" fillId="35" borderId="44" xfId="0" applyFont="1" applyFill="1" applyBorder="1" applyAlignment="1" applyProtection="1">
      <alignment horizontal="center"/>
      <protection locked="0"/>
    </xf>
    <xf numFmtId="0" fontId="4" fillId="35" borderId="53" xfId="0" applyFont="1" applyFill="1" applyBorder="1" applyAlignment="1" applyProtection="1">
      <alignment horizontal="center"/>
      <protection locked="0"/>
    </xf>
    <xf numFmtId="0" fontId="4" fillId="35" borderId="54" xfId="0" applyFont="1" applyFill="1" applyBorder="1" applyAlignment="1" applyProtection="1">
      <alignment horizontal="center"/>
      <protection locked="0"/>
    </xf>
    <xf numFmtId="2" fontId="4" fillId="0" borderId="12" xfId="0" applyNumberFormat="1" applyFont="1" applyBorder="1" applyAlignment="1">
      <alignment horizontal="center"/>
    </xf>
    <xf numFmtId="2" fontId="4" fillId="0" borderId="44" xfId="0" applyNumberFormat="1" applyFont="1" applyBorder="1" applyAlignment="1">
      <alignment horizontal="center"/>
    </xf>
    <xf numFmtId="2" fontId="4" fillId="0" borderId="35" xfId="0" applyNumberFormat="1" applyFont="1" applyBorder="1" applyAlignment="1">
      <alignment horizontal="center"/>
    </xf>
    <xf numFmtId="2" fontId="4" fillId="0" borderId="55" xfId="0" applyNumberFormat="1" applyFont="1" applyBorder="1" applyAlignment="1">
      <alignment horizontal="center"/>
    </xf>
    <xf numFmtId="2" fontId="12" fillId="0" borderId="34" xfId="0" applyNumberFormat="1" applyFont="1" applyBorder="1" applyAlignment="1">
      <alignment horizontal="center"/>
    </xf>
    <xf numFmtId="2" fontId="12" fillId="0" borderId="56" xfId="0" applyNumberFormat="1" applyFont="1" applyBorder="1" applyAlignment="1">
      <alignment horizontal="center"/>
    </xf>
    <xf numFmtId="0" fontId="4" fillId="35" borderId="34" xfId="0" applyFont="1" applyFill="1" applyBorder="1" applyAlignment="1" applyProtection="1">
      <alignment horizontal="center"/>
      <protection locked="0"/>
    </xf>
    <xf numFmtId="0" fontId="4" fillId="35" borderId="56" xfId="0" applyFont="1" applyFill="1" applyBorder="1" applyAlignment="1" applyProtection="1">
      <alignment horizontal="center"/>
      <protection locked="0"/>
    </xf>
    <xf numFmtId="0" fontId="10" fillId="0" borderId="36" xfId="0" applyFont="1" applyBorder="1" applyAlignment="1">
      <alignment horizontal="left" vertical="top"/>
    </xf>
    <xf numFmtId="0" fontId="11" fillId="0" borderId="37" xfId="0" applyFont="1" applyBorder="1" applyAlignment="1">
      <alignment horizontal="left" vertical="top"/>
    </xf>
    <xf numFmtId="0" fontId="11" fillId="0" borderId="38" xfId="0" applyFont="1" applyBorder="1" applyAlignment="1">
      <alignment horizontal="left" vertical="top"/>
    </xf>
    <xf numFmtId="0" fontId="4" fillId="0" borderId="57" xfId="0" applyFont="1" applyFill="1" applyBorder="1" applyAlignment="1">
      <alignment horizontal="center"/>
    </xf>
    <xf numFmtId="0" fontId="4" fillId="0" borderId="45" xfId="0" applyFont="1" applyFill="1" applyBorder="1" applyAlignment="1">
      <alignment horizontal="center"/>
    </xf>
    <xf numFmtId="0" fontId="4" fillId="0" borderId="22" xfId="0" applyFont="1" applyBorder="1" applyAlignment="1">
      <alignment horizontal="center"/>
    </xf>
    <xf numFmtId="0" fontId="4" fillId="0" borderId="45" xfId="0" applyFont="1" applyBorder="1" applyAlignment="1">
      <alignment horizontal="center"/>
    </xf>
    <xf numFmtId="0" fontId="4" fillId="0" borderId="0" xfId="0" applyFont="1" applyBorder="1" applyAlignment="1">
      <alignment horizontal="center"/>
    </xf>
    <xf numFmtId="0" fontId="4" fillId="35" borderId="39" xfId="0" applyFont="1" applyFill="1" applyBorder="1" applyAlignment="1" applyProtection="1">
      <alignment horizontal="center"/>
      <protection locked="0"/>
    </xf>
    <xf numFmtId="0" fontId="4" fillId="35" borderId="17" xfId="0" applyFont="1" applyFill="1" applyBorder="1" applyAlignment="1" applyProtection="1">
      <alignment horizontal="center"/>
      <protection locked="0"/>
    </xf>
    <xf numFmtId="4" fontId="4" fillId="0" borderId="12" xfId="0" applyNumberFormat="1" applyFont="1" applyBorder="1" applyAlignment="1">
      <alignment horizontal="center"/>
    </xf>
    <xf numFmtId="0" fontId="0" fillId="0" borderId="44" xfId="0" applyBorder="1" applyAlignment="1">
      <alignment/>
    </xf>
    <xf numFmtId="0" fontId="4" fillId="35" borderId="58" xfId="0" applyFont="1" applyFill="1" applyBorder="1" applyAlignment="1" applyProtection="1">
      <alignment horizontal="center"/>
      <protection locked="0"/>
    </xf>
    <xf numFmtId="0" fontId="4" fillId="35" borderId="59" xfId="0" applyFont="1" applyFill="1" applyBorder="1" applyAlignment="1" applyProtection="1">
      <alignment horizontal="center"/>
      <protection locked="0"/>
    </xf>
    <xf numFmtId="0" fontId="4" fillId="35" borderId="19" xfId="0" applyFont="1" applyFill="1" applyBorder="1" applyAlignment="1">
      <alignment horizontal="center"/>
    </xf>
    <xf numFmtId="0" fontId="4" fillId="35" borderId="42" xfId="0" applyFont="1" applyFill="1" applyBorder="1" applyAlignment="1">
      <alignment horizontal="center"/>
    </xf>
    <xf numFmtId="0" fontId="4" fillId="35" borderId="37" xfId="0" applyFont="1" applyFill="1" applyBorder="1" applyAlignment="1" applyProtection="1">
      <alignment horizontal="center"/>
      <protection locked="0"/>
    </xf>
    <xf numFmtId="0" fontId="4" fillId="35" borderId="38" xfId="0" applyFont="1" applyFill="1" applyBorder="1" applyAlignment="1" applyProtection="1">
      <alignment horizontal="center"/>
      <protection locked="0"/>
    </xf>
  </cellXfs>
  <cellStyles count="52">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Standard 2" xfId="53"/>
    <cellStyle name="Standard 2 2" xfId="54"/>
    <cellStyle name="Standard 2 3" xfId="55"/>
    <cellStyle name="Überschrift" xfId="56"/>
    <cellStyle name="Überschrift 1" xfId="57"/>
    <cellStyle name="Überschrift 2" xfId="58"/>
    <cellStyle name="Überschrift 3" xfId="59"/>
    <cellStyle name="Überschrift 4" xfId="60"/>
    <cellStyle name="Verknüpfte Zelle" xfId="61"/>
    <cellStyle name="Currency" xfId="62"/>
    <cellStyle name="Currency [0]" xfId="63"/>
    <cellStyle name="Warnender Text" xfId="64"/>
    <cellStyle name="Zelle überprüfen" xfId="65"/>
  </cellStyles>
  <dxfs count="2">
    <dxf>
      <fill>
        <patternFill>
          <bgColor theme="5" tint="0.5999600291252136"/>
        </patternFill>
      </fill>
    </dxf>
    <dxf>
      <fill>
        <patternFill>
          <bgColor theme="5" tint="0.599960029125213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1</xdr:row>
      <xdr:rowOff>0</xdr:rowOff>
    </xdr:from>
    <xdr:to>
      <xdr:col>6</xdr:col>
      <xdr:colOff>733425</xdr:colOff>
      <xdr:row>6</xdr:row>
      <xdr:rowOff>95250</xdr:rowOff>
    </xdr:to>
    <xdr:sp>
      <xdr:nvSpPr>
        <xdr:cNvPr id="1" name="Textfeld 1"/>
        <xdr:cNvSpPr txBox="1">
          <a:spLocks noChangeArrowheads="1"/>
        </xdr:cNvSpPr>
      </xdr:nvSpPr>
      <xdr:spPr>
        <a:xfrm>
          <a:off x="6877050" y="266700"/>
          <a:ext cx="2238375" cy="1333500"/>
        </a:xfrm>
        <a:prstGeom prst="rect">
          <a:avLst/>
        </a:prstGeom>
        <a:solidFill>
          <a:srgbClr val="FFFF00"/>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rPr>
            <a:t>In den violetten Felder ist für die zutreffende Leistung ein "j" einzugeben, um für diese den Kostenbeitrag zu berechnen. Es kann immer nur für eine Leistung ein j eingegeben werden.</a:t>
          </a:r>
        </a:p>
      </xdr:txBody>
    </xdr:sp>
    <xdr:clientData/>
  </xdr:twoCellAnchor>
  <xdr:twoCellAnchor>
    <xdr:from>
      <xdr:col>4</xdr:col>
      <xdr:colOff>19050</xdr:colOff>
      <xdr:row>20</xdr:row>
      <xdr:rowOff>209550</xdr:rowOff>
    </xdr:from>
    <xdr:to>
      <xdr:col>6</xdr:col>
      <xdr:colOff>352425</xdr:colOff>
      <xdr:row>22</xdr:row>
      <xdr:rowOff>209550</xdr:rowOff>
    </xdr:to>
    <xdr:sp>
      <xdr:nvSpPr>
        <xdr:cNvPr id="2" name="Textfeld 2"/>
        <xdr:cNvSpPr txBox="1">
          <a:spLocks noChangeArrowheads="1"/>
        </xdr:cNvSpPr>
      </xdr:nvSpPr>
      <xdr:spPr>
        <a:xfrm>
          <a:off x="6877050" y="5505450"/>
          <a:ext cx="1857375" cy="466725"/>
        </a:xfrm>
        <a:prstGeom prst="rect">
          <a:avLst/>
        </a:prstGeom>
        <a:solidFill>
          <a:srgbClr val="FFFF00"/>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Bitte</a:t>
          </a:r>
          <a:r>
            <a:rPr lang="en-US" cap="none" sz="1100" b="0" i="0" u="none" baseline="0">
              <a:solidFill>
                <a:srgbClr val="000000"/>
              </a:solidFill>
              <a:latin typeface="Calibri"/>
              <a:ea typeface="Calibri"/>
              <a:cs typeface="Calibri"/>
            </a:rPr>
            <a:t> Kommentar in Zelle Vater u. Mutter  beachten
</a:t>
          </a:r>
        </a:p>
      </xdr:txBody>
    </xdr:sp>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https://www.arbeiterkammer.at/beratung/steuerundeinkommen/steuertipps/Steuervorteile_fuer_Familien.html" TargetMode="External" /><Relationship Id="rId2" Type="http://schemas.openxmlformats.org/officeDocument/2006/relationships/hyperlink" Target="https://www.oesterreich.gv.at/themen/familie_und_partnerschaft/alleinerziehung/5/1/Seite.490532.html" TargetMode="Externa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Tabelle1"/>
  <dimension ref="A1:A7"/>
  <sheetViews>
    <sheetView zoomScalePageLayoutView="0" workbookViewId="0" topLeftCell="A1">
      <selection activeCell="D5" sqref="D5"/>
    </sheetView>
  </sheetViews>
  <sheetFormatPr defaultColWidth="11.421875" defaultRowHeight="12.75"/>
  <cols>
    <col min="1" max="16384" width="11.421875" style="54" customWidth="1"/>
  </cols>
  <sheetData>
    <row r="1" ht="12.75">
      <c r="A1" s="54" t="s">
        <v>91</v>
      </c>
    </row>
    <row r="2" ht="12.75">
      <c r="A2" s="54" t="s">
        <v>90</v>
      </c>
    </row>
    <row r="3" ht="12.75">
      <c r="A3" s="54" t="s">
        <v>89</v>
      </c>
    </row>
    <row r="4" ht="12.75">
      <c r="A4" s="54" t="s">
        <v>88</v>
      </c>
    </row>
    <row r="5" ht="12.75">
      <c r="A5" s="54" t="s">
        <v>87</v>
      </c>
    </row>
    <row r="6" ht="12.75">
      <c r="A6" t="s">
        <v>92</v>
      </c>
    </row>
    <row r="7" ht="12.75">
      <c r="A7" t="s">
        <v>93</v>
      </c>
    </row>
  </sheetData>
  <sheetProtection password="EA84" sheet="1"/>
  <printOptions/>
  <pageMargins left="0.787401575" right="0.787401575" top="0.984251969" bottom="0.984251969"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sheetPr codeName="Tabelle2"/>
  <dimension ref="B2:E64"/>
  <sheetViews>
    <sheetView zoomScalePageLayoutView="0" workbookViewId="0" topLeftCell="A1">
      <selection activeCell="D14" sqref="D14"/>
    </sheetView>
  </sheetViews>
  <sheetFormatPr defaultColWidth="11.421875" defaultRowHeight="12.75"/>
  <cols>
    <col min="2" max="2" width="37.00390625" style="0" customWidth="1"/>
  </cols>
  <sheetData>
    <row r="2" spans="2:5" ht="12.75">
      <c r="B2" t="s">
        <v>1</v>
      </c>
      <c r="C2">
        <f>Eingabeblatt!B13</f>
        <v>0</v>
      </c>
      <c r="D2" t="s">
        <v>82</v>
      </c>
      <c r="E2" t="s">
        <v>72</v>
      </c>
    </row>
    <row r="3" spans="2:5" ht="12.75">
      <c r="B3" t="s">
        <v>97</v>
      </c>
      <c r="C3" s="4">
        <f>Eingabeblatt!B3</f>
        <v>0</v>
      </c>
      <c r="D3">
        <v>0.125</v>
      </c>
      <c r="E3">
        <f>$C$2*D3</f>
        <v>0</v>
      </c>
    </row>
    <row r="4" spans="2:5" ht="12.75">
      <c r="B4" t="s">
        <v>51</v>
      </c>
      <c r="C4" s="4">
        <f>Eingabeblatt!B4</f>
        <v>0</v>
      </c>
      <c r="D4">
        <v>0.25</v>
      </c>
      <c r="E4">
        <f>$C$2*D4</f>
        <v>0</v>
      </c>
    </row>
    <row r="5" spans="2:5" ht="12.75">
      <c r="B5" t="s">
        <v>52</v>
      </c>
      <c r="C5" s="4">
        <f>Eingabeblatt!B5</f>
        <v>0</v>
      </c>
      <c r="D5">
        <v>0.8</v>
      </c>
      <c r="E5">
        <f aca="true" t="shared" si="0" ref="E5:E11">$C$2*D5</f>
        <v>0</v>
      </c>
    </row>
    <row r="6" spans="2:5" ht="12.75">
      <c r="B6" t="s">
        <v>115</v>
      </c>
      <c r="C6" s="4">
        <f>Eingabeblatt!B6</f>
        <v>0</v>
      </c>
      <c r="D6">
        <v>0.25</v>
      </c>
      <c r="E6">
        <f t="shared" si="0"/>
        <v>0</v>
      </c>
    </row>
    <row r="7" spans="2:5" ht="12.75">
      <c r="B7" t="s">
        <v>114</v>
      </c>
      <c r="C7" s="4">
        <f>Eingabeblatt!B7</f>
        <v>0</v>
      </c>
      <c r="D7">
        <v>0.125</v>
      </c>
      <c r="E7">
        <f t="shared" si="0"/>
        <v>0</v>
      </c>
    </row>
    <row r="8" spans="2:5" ht="12.75">
      <c r="B8" t="s">
        <v>113</v>
      </c>
      <c r="C8" s="4">
        <f>Eingabeblatt!B8</f>
        <v>0</v>
      </c>
      <c r="D8">
        <v>0.7</v>
      </c>
      <c r="E8">
        <f t="shared" si="0"/>
        <v>0</v>
      </c>
    </row>
    <row r="9" spans="2:5" ht="12.75">
      <c r="B9" t="s">
        <v>71</v>
      </c>
      <c r="C9" s="4">
        <f>Eingabeblatt!B9</f>
        <v>0</v>
      </c>
      <c r="D9">
        <v>0.3</v>
      </c>
      <c r="E9">
        <f t="shared" si="0"/>
        <v>0</v>
      </c>
    </row>
    <row r="10" spans="2:5" ht="12.75">
      <c r="B10" t="s">
        <v>94</v>
      </c>
      <c r="C10" s="4">
        <f>Eingabeblatt!B10</f>
        <v>0</v>
      </c>
      <c r="D10">
        <v>0.25</v>
      </c>
      <c r="E10">
        <f>$C$2*D10</f>
        <v>0</v>
      </c>
    </row>
    <row r="11" spans="2:5" ht="12.75">
      <c r="B11" t="s">
        <v>98</v>
      </c>
      <c r="C11" s="4">
        <f>Eingabeblatt!B11</f>
        <v>0</v>
      </c>
      <c r="D11">
        <v>0.125</v>
      </c>
      <c r="E11">
        <f t="shared" si="0"/>
        <v>0</v>
      </c>
    </row>
    <row r="12" spans="2:3" ht="12.75">
      <c r="B12" t="s">
        <v>72</v>
      </c>
      <c r="C12" t="b">
        <f>IF(OR(C4="j",C6="j",C10="j"),(C2*0.25),IF(C5="j",(C2*0.8),IF(OR(C3="j",C7="j",C11="j"),(C2*0.125),IF(C8="j",(C2*0.7),IF((C9="j"),(C2*0.3))))))</f>
        <v>0</v>
      </c>
    </row>
    <row r="13" spans="2:4" ht="12.75">
      <c r="B13" t="s">
        <v>43</v>
      </c>
      <c r="C13">
        <f>C2-C12</f>
        <v>0</v>
      </c>
      <c r="D13" s="26">
        <f>IF(C13&lt;=0.1*C20,0.1*C20,C2-55.16)</f>
        <v>55.160000000000004</v>
      </c>
    </row>
    <row r="14" spans="2:3" ht="12.75" customHeight="1">
      <c r="B14" s="27" t="s">
        <v>99</v>
      </c>
      <c r="C14">
        <f>IF(C2-C12&gt;=0.1*C20,C12,C2-55.16)</f>
        <v>-55.16</v>
      </c>
    </row>
    <row r="15" ht="12.75">
      <c r="B15" s="27"/>
    </row>
    <row r="17" ht="12.75">
      <c r="B17" s="102" t="s">
        <v>117</v>
      </c>
    </row>
    <row r="18" spans="2:3" ht="12.75">
      <c r="B18" s="105" t="s">
        <v>44</v>
      </c>
      <c r="C18" s="106">
        <v>192</v>
      </c>
    </row>
    <row r="19" spans="2:3" ht="12.75">
      <c r="B19" s="105" t="s">
        <v>45</v>
      </c>
      <c r="C19" s="106">
        <v>354</v>
      </c>
    </row>
    <row r="20" spans="2:3" ht="12.75">
      <c r="B20" s="103" t="s">
        <v>46</v>
      </c>
      <c r="C20" s="104">
        <v>551.6</v>
      </c>
    </row>
    <row r="21" spans="2:3" ht="12.75">
      <c r="B21" s="105" t="s">
        <v>47</v>
      </c>
      <c r="C21" s="106">
        <v>827.1</v>
      </c>
    </row>
    <row r="22" spans="2:3" ht="12.75">
      <c r="B22" s="105" t="s">
        <v>48</v>
      </c>
      <c r="C22" s="106">
        <v>1123.5</v>
      </c>
    </row>
    <row r="23" spans="2:3" ht="12.75">
      <c r="B23" s="105" t="s">
        <v>49</v>
      </c>
      <c r="C23" s="106">
        <v>1568.9</v>
      </c>
    </row>
    <row r="24" spans="2:3" ht="12.75">
      <c r="B24" s="105" t="s">
        <v>50</v>
      </c>
      <c r="C24" s="106">
        <v>2061.8</v>
      </c>
    </row>
    <row r="28" ht="12.75">
      <c r="B28" s="100" t="s">
        <v>116</v>
      </c>
    </row>
    <row r="29" spans="2:3" ht="12.75">
      <c r="B29" t="s">
        <v>44</v>
      </c>
      <c r="C29" s="107">
        <v>175.4</v>
      </c>
    </row>
    <row r="30" spans="2:3" ht="12.75">
      <c r="B30" t="s">
        <v>45</v>
      </c>
      <c r="C30" s="107">
        <v>322.7</v>
      </c>
    </row>
    <row r="31" spans="2:3" ht="12.75">
      <c r="B31" s="103" t="s">
        <v>46</v>
      </c>
      <c r="C31" s="107">
        <v>502.8</v>
      </c>
    </row>
    <row r="32" spans="2:3" ht="12.75">
      <c r="B32" t="s">
        <v>47</v>
      </c>
      <c r="C32" s="107">
        <v>754</v>
      </c>
    </row>
    <row r="33" spans="2:3" ht="12.75">
      <c r="B33" t="s">
        <v>48</v>
      </c>
      <c r="C33" s="107">
        <v>1024.2</v>
      </c>
    </row>
    <row r="34" spans="2:3" ht="12.75">
      <c r="B34" t="s">
        <v>49</v>
      </c>
      <c r="C34" s="107">
        <v>1430.2</v>
      </c>
    </row>
    <row r="35" spans="2:3" ht="12.75">
      <c r="B35" t="s">
        <v>50</v>
      </c>
      <c r="C35" s="107">
        <v>1879.5</v>
      </c>
    </row>
    <row r="37" spans="2:3" ht="12.75">
      <c r="B37" s="100"/>
      <c r="C37" s="70"/>
    </row>
    <row r="38" ht="12.75">
      <c r="C38" s="71"/>
    </row>
    <row r="39" ht="12.75">
      <c r="C39" s="71"/>
    </row>
    <row r="40" ht="12.75">
      <c r="C40" s="71"/>
    </row>
    <row r="41" ht="12.75">
      <c r="C41" s="71"/>
    </row>
    <row r="42" ht="12.75">
      <c r="C42" s="71"/>
    </row>
    <row r="43" ht="12.75">
      <c r="C43" s="71"/>
    </row>
    <row r="44" ht="12.75">
      <c r="C44" s="71"/>
    </row>
    <row r="45" ht="12.75">
      <c r="C45" s="70"/>
    </row>
    <row r="46" ht="12.75">
      <c r="C46" s="70"/>
    </row>
    <row r="47" ht="12.75">
      <c r="B47" s="101"/>
    </row>
    <row r="48" ht="12.75">
      <c r="C48" s="1"/>
    </row>
    <row r="49" ht="12.75">
      <c r="C49" s="1"/>
    </row>
    <row r="50" ht="12.75">
      <c r="C50" s="1"/>
    </row>
    <row r="51" ht="12.75">
      <c r="C51" s="1"/>
    </row>
    <row r="52" ht="12.75">
      <c r="C52" s="1"/>
    </row>
    <row r="53" ht="12.75">
      <c r="C53" s="1"/>
    </row>
    <row r="54" ht="12.75">
      <c r="C54" s="1"/>
    </row>
    <row r="57" ht="12.75">
      <c r="B57" s="101"/>
    </row>
    <row r="58" ht="12.75">
      <c r="C58" s="1"/>
    </row>
    <row r="59" ht="12.75">
      <c r="C59" s="1"/>
    </row>
    <row r="60" ht="12.75">
      <c r="C60" s="1"/>
    </row>
    <row r="61" ht="12.75">
      <c r="C61" s="1"/>
    </row>
    <row r="62" ht="12.75">
      <c r="C62" s="1"/>
    </row>
    <row r="63" ht="12.75">
      <c r="C63" s="1"/>
    </row>
    <row r="64" ht="12.75">
      <c r="C64" s="1"/>
    </row>
  </sheetData>
  <sheetProtection password="EA84" sheet="1"/>
  <printOptions/>
  <pageMargins left="0.787401575" right="0.787401575" top="0.984251969" bottom="0.984251969" header="0.4921259845" footer="0.4921259845"/>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sheetPr codeName="Tabelle3">
    <pageSetUpPr fitToPage="1"/>
  </sheetPr>
  <dimension ref="A2:E29"/>
  <sheetViews>
    <sheetView workbookViewId="0" topLeftCell="A1">
      <selection activeCell="D23" sqref="D23"/>
    </sheetView>
  </sheetViews>
  <sheetFormatPr defaultColWidth="11.421875" defaultRowHeight="12.75"/>
  <cols>
    <col min="1" max="1" width="22.7109375" style="0" customWidth="1"/>
    <col min="2" max="2" width="36.421875" style="0" bestFit="1" customWidth="1"/>
    <col min="3" max="3" width="24.7109375" style="0" customWidth="1"/>
    <col min="5" max="5" width="30.00390625" style="0" customWidth="1"/>
    <col min="6" max="6" width="56.28125" style="0" customWidth="1"/>
  </cols>
  <sheetData>
    <row r="2" spans="2:3" ht="12.75">
      <c r="B2" t="s">
        <v>3</v>
      </c>
      <c r="C2">
        <f>Eingabeblatt!B17</f>
        <v>0</v>
      </c>
    </row>
    <row r="3" spans="2:3" ht="12.75">
      <c r="B3" t="s">
        <v>18</v>
      </c>
      <c r="C3">
        <f>Eingabeblatt!B16</f>
        <v>0</v>
      </c>
    </row>
    <row r="4" ht="13.5" thickBot="1"/>
    <row r="5" spans="2:5" ht="30.75" customHeight="1" thickBot="1">
      <c r="B5" s="46"/>
      <c r="C5" s="47" t="s">
        <v>85</v>
      </c>
      <c r="D5" s="48" t="s">
        <v>82</v>
      </c>
      <c r="E5" s="55" t="s">
        <v>84</v>
      </c>
    </row>
    <row r="6" spans="2:5" ht="12.75">
      <c r="B6" s="67" t="s">
        <v>97</v>
      </c>
      <c r="C6" s="50">
        <f>IF(Eingabeblatt!B3&lt;&gt;"J","",Eingabeblatt!B3)</f>
      </c>
      <c r="D6" s="66">
        <v>0.15</v>
      </c>
      <c r="E6" s="56">
        <f aca="true" t="shared" si="0" ref="E6:E11">$C$3*D6</f>
        <v>0</v>
      </c>
    </row>
    <row r="7" spans="2:5" ht="12.75">
      <c r="B7" s="59" t="s">
        <v>51</v>
      </c>
      <c r="C7" s="51">
        <f>IF(Eingabeblatt!B4&lt;&gt;"J","",Eingabeblatt!B4)</f>
      </c>
      <c r="D7" s="65">
        <v>0.3</v>
      </c>
      <c r="E7" s="57">
        <f t="shared" si="0"/>
        <v>0</v>
      </c>
    </row>
    <row r="8" spans="2:5" ht="12.75">
      <c r="B8" s="59" t="s">
        <v>52</v>
      </c>
      <c r="C8" s="51">
        <f>IF(Eingabeblatt!B5&lt;&gt;"J","",Eingabeblatt!B5)</f>
      </c>
      <c r="D8" s="65">
        <v>0.8</v>
      </c>
      <c r="E8" s="57">
        <f t="shared" si="0"/>
        <v>0</v>
      </c>
    </row>
    <row r="9" spans="2:5" ht="12.75">
      <c r="B9" s="59" t="s">
        <v>54</v>
      </c>
      <c r="C9" s="51">
        <f>IF(Eingabeblatt!B6&lt;&gt;"J","",Eingabeblatt!B6)</f>
      </c>
      <c r="D9" s="65">
        <v>0.3</v>
      </c>
      <c r="E9" s="57">
        <f>$C$3*D9</f>
        <v>0</v>
      </c>
    </row>
    <row r="10" spans="2:5" ht="12.75">
      <c r="B10" s="59" t="s">
        <v>80</v>
      </c>
      <c r="C10" s="51">
        <f>IF(Eingabeblatt!B7&lt;&gt;"J","",Eingabeblatt!B7)</f>
      </c>
      <c r="D10" s="65">
        <v>0.15</v>
      </c>
      <c r="E10" s="57">
        <f t="shared" si="0"/>
        <v>0</v>
      </c>
    </row>
    <row r="11" spans="2:5" ht="13.5" thickBot="1">
      <c r="B11" s="68" t="s">
        <v>70</v>
      </c>
      <c r="C11" s="52">
        <f>IF(Eingabeblatt!B8&lt;&gt;"J","",Eingabeblatt!B8)</f>
      </c>
      <c r="D11" s="69">
        <v>0.8</v>
      </c>
      <c r="E11" s="58">
        <f t="shared" si="0"/>
        <v>0</v>
      </c>
    </row>
    <row r="12" spans="2:5" ht="12.75">
      <c r="B12" s="49" t="s">
        <v>71</v>
      </c>
      <c r="C12" s="50">
        <f>IF(Eingabeblatt!B9&lt;&gt;"J","",Eingabeblatt!B9)</f>
      </c>
      <c r="D12" s="50">
        <v>0.4</v>
      </c>
      <c r="E12" s="56">
        <f>IF($C$3&lt;VLOOKUP($C$2,$A$23:$C$28,3),0,($C$3-VLOOKUP($C$2,$A$23:$C$28,3))*D12)</f>
        <v>0</v>
      </c>
    </row>
    <row r="13" spans="2:5" ht="12.75">
      <c r="B13" s="59" t="s">
        <v>94</v>
      </c>
      <c r="C13" s="51">
        <f>IF(Eingabeblatt!B10&lt;&gt;"J","",Eingabeblatt!B10)</f>
      </c>
      <c r="D13" s="51">
        <v>0.4</v>
      </c>
      <c r="E13" s="57">
        <f>IF($C$3&lt;VLOOKUP($C$2,$A$23:$C$28,3),0,($C$3-VLOOKUP($C$2,$A$23:$C$28,3))*D13)</f>
        <v>0</v>
      </c>
    </row>
    <row r="14" spans="2:5" ht="13.5" thickBot="1">
      <c r="B14" s="68" t="s">
        <v>98</v>
      </c>
      <c r="C14" s="52">
        <f>IF(Eingabeblatt!B11&lt;&gt;"J","",Eingabeblatt!B11)</f>
      </c>
      <c r="D14" s="52">
        <v>0.2</v>
      </c>
      <c r="E14" s="58">
        <f>IF($C$3&lt;VLOOKUP($C$2,$A$23:$C$28,3),0,($C$3-VLOOKUP($C$2,$A$23:$C$28,3))*D14)</f>
        <v>0</v>
      </c>
    </row>
    <row r="15" ht="12.75">
      <c r="D15" t="e">
        <f>IF(C16&gt;30,30,IF(C16&lt;0,0,C16))</f>
        <v>#N/A</v>
      </c>
    </row>
    <row r="16" spans="2:5" ht="12.75">
      <c r="B16" t="s">
        <v>83</v>
      </c>
      <c r="C16" s="45" t="e">
        <f>IF(COUNTIF(C6:C14,"j")&gt;1,"Anzahl Struktur !",VLOOKUP("j",C6:E14,3,))</f>
        <v>#N/A</v>
      </c>
      <c r="D16" t="e">
        <f>IF(C16&gt;60,60,IF(C16&lt;0,0,C16))</f>
        <v>#N/A</v>
      </c>
      <c r="E16" t="e">
        <f>IF(C16&gt;170,170,IF(C16&lt;0,0,C16))</f>
        <v>#N/A</v>
      </c>
    </row>
    <row r="17" spans="2:3" ht="12.75">
      <c r="B17" s="45" t="s">
        <v>86</v>
      </c>
      <c r="C17" s="53" t="str">
        <f>IF(COUNTIF(C6:C14,"j")&gt;1,"Achtung: Es darf in der Eingabetabelle nur eine Struktur gewählt werden !","Anzahl der in der Eingabetabelle gewählten Strukturen korrekt.")</f>
        <v>Anzahl der in der Eingabetabelle gewählten Strukturen korrekt.</v>
      </c>
    </row>
    <row r="18" ht="12.75">
      <c r="C18" s="1"/>
    </row>
    <row r="22" ht="12.75">
      <c r="A22" s="4" t="s">
        <v>69</v>
      </c>
    </row>
    <row r="23" spans="1:4" ht="12.75">
      <c r="A23" s="4">
        <v>0</v>
      </c>
      <c r="B23" t="s">
        <v>19</v>
      </c>
      <c r="C23">
        <v>1155.84</v>
      </c>
      <c r="D23">
        <f>C23*0.2</f>
        <v>231.168</v>
      </c>
    </row>
    <row r="24" spans="1:3" ht="12.75">
      <c r="A24" s="4">
        <v>1</v>
      </c>
      <c r="B24" t="s">
        <v>20</v>
      </c>
      <c r="C24" s="1">
        <f>C23+D23</f>
        <v>1387.0079999999998</v>
      </c>
    </row>
    <row r="25" spans="1:3" ht="12.75">
      <c r="A25" s="4">
        <v>2</v>
      </c>
      <c r="B25" t="s">
        <v>21</v>
      </c>
      <c r="C25" s="1">
        <f>C23+2*D23</f>
        <v>1618.176</v>
      </c>
    </row>
    <row r="26" spans="1:3" ht="12.75">
      <c r="A26" s="4">
        <v>3</v>
      </c>
      <c r="B26" t="s">
        <v>22</v>
      </c>
      <c r="C26" s="1">
        <f>C23+3*D23</f>
        <v>1849.344</v>
      </c>
    </row>
    <row r="27" spans="1:3" ht="12.75">
      <c r="A27" s="4">
        <v>4</v>
      </c>
      <c r="B27" t="s">
        <v>23</v>
      </c>
      <c r="C27" s="1">
        <f>C23+4*D23</f>
        <v>2080.5119999999997</v>
      </c>
    </row>
    <row r="28" spans="1:3" ht="12.75">
      <c r="A28" s="4">
        <v>5</v>
      </c>
      <c r="B28" t="s">
        <v>24</v>
      </c>
      <c r="C28" s="1">
        <f>C23+5*D23</f>
        <v>2311.6800000000003</v>
      </c>
    </row>
    <row r="29" ht="12.75">
      <c r="B29" s="1"/>
    </row>
  </sheetData>
  <sheetProtection password="EA84" sheet="1"/>
  <printOptions/>
  <pageMargins left="0.25" right="0.25" top="0.75" bottom="0.75" header="0.3" footer="0.3"/>
  <pageSetup fitToHeight="0" fitToWidth="1" horizontalDpi="600" verticalDpi="600" orientation="landscape" paperSize="9" r:id="rId1"/>
  <headerFooter alignWithMargins="0">
    <oddHeader>&amp;CEINKOMMEN SOZE1040</oddHeader>
  </headerFooter>
</worksheet>
</file>

<file path=xl/worksheets/sheet4.xml><?xml version="1.0" encoding="utf-8"?>
<worksheet xmlns="http://schemas.openxmlformats.org/spreadsheetml/2006/main" xmlns:r="http://schemas.openxmlformats.org/officeDocument/2006/relationships">
  <sheetPr codeName="Tabelle4"/>
  <dimension ref="A1:I114"/>
  <sheetViews>
    <sheetView zoomScale="85" zoomScaleNormal="85" zoomScalePageLayoutView="220" workbookViewId="0" topLeftCell="A70">
      <selection activeCell="C110" sqref="C110"/>
    </sheetView>
  </sheetViews>
  <sheetFormatPr defaultColWidth="11.421875" defaultRowHeight="12.75"/>
  <cols>
    <col min="1" max="1" width="44.57421875" style="0" bestFit="1" customWidth="1"/>
    <col min="2" max="2" width="63.7109375" style="0" bestFit="1" customWidth="1"/>
    <col min="5" max="5" width="20.140625" style="0" customWidth="1"/>
    <col min="6" max="6" width="34.140625" style="0" customWidth="1"/>
  </cols>
  <sheetData>
    <row r="1" spans="2:8" ht="12.75">
      <c r="B1" t="s">
        <v>14</v>
      </c>
      <c r="C1">
        <f>Eingabeblatt!B23</f>
        <v>0</v>
      </c>
      <c r="H1">
        <f>Eingabeblatt!C23</f>
        <v>0</v>
      </c>
    </row>
    <row r="2" spans="2:9" ht="12.75">
      <c r="B2" t="s">
        <v>5</v>
      </c>
      <c r="C2">
        <f>Eingabeblatt!B24</f>
        <v>0</v>
      </c>
      <c r="D2">
        <f>IF(C2&lt;6,C43,IF(AND(C2&gt;=6,C2&lt;10),C44,IF(AND(C2&gt;=10,C2&lt;15),C45,IF(C2&gt;=15,C46))))</f>
        <v>0.16</v>
      </c>
      <c r="H2">
        <f>Eingabeblatt!C24</f>
        <v>0</v>
      </c>
      <c r="I2">
        <f>IF(H2&lt;6,C43,IF(AND(H2&gt;=6,H2&lt;10),C44,IF(AND(H2&gt;=10,H2&lt;15),C45,IF(H2&gt;=15,C46))))</f>
        <v>0.16</v>
      </c>
    </row>
    <row r="3" spans="2:8" ht="12.75">
      <c r="B3" t="s">
        <v>25</v>
      </c>
      <c r="C3">
        <f>Eingabeblatt!B25</f>
        <v>0</v>
      </c>
      <c r="H3">
        <f>Eingabeblatt!C25</f>
        <v>0</v>
      </c>
    </row>
    <row r="4" spans="2:9" ht="12.75">
      <c r="B4" t="s">
        <v>6</v>
      </c>
      <c r="C4">
        <f>Eingabeblatt!B26</f>
        <v>0</v>
      </c>
      <c r="D4">
        <f>IF(C3="n",0,IF(C4&lt;=(1/9*C1),C48,IF(AND(C4&gt;(1/9*C1),C4&lt;=(2/9*C1)),C49,IF(AND(C4&gt;(2/9*C1),C4&lt;=(3/9*C1)),C50,IF(C4&gt;(3/9*C1),C51)))))</f>
        <v>0.03</v>
      </c>
      <c r="H4">
        <f>Eingabeblatt!C26</f>
        <v>0</v>
      </c>
      <c r="I4">
        <f>IF(H3="n",0,IF(H4&lt;=(1/9*H1),C48,IF(AND(H4&gt;(1/9*H1),H4&lt;=(2/9*H1)),C49,IF(AND(H4&gt;(2/9*H1),H4&lt;=(3/9*H1)),C50,IF(H4&gt;(3/9*H1),C51)))))</f>
        <v>0.03</v>
      </c>
    </row>
    <row r="5" spans="2:9" ht="12.75">
      <c r="B5" t="s">
        <v>8</v>
      </c>
      <c r="C5">
        <f>Eingabeblatt!B27</f>
        <v>0</v>
      </c>
      <c r="D5">
        <f>C5*C52</f>
        <v>0</v>
      </c>
      <c r="H5">
        <f>Eingabeblatt!C27</f>
        <v>0</v>
      </c>
      <c r="I5">
        <f>H5*C52</f>
        <v>0</v>
      </c>
    </row>
    <row r="6" spans="2:9" ht="12.75">
      <c r="B6" t="s">
        <v>9</v>
      </c>
      <c r="C6">
        <f>Eingabeblatt!B28</f>
        <v>0</v>
      </c>
      <c r="D6">
        <f>C6*C53</f>
        <v>0</v>
      </c>
      <c r="H6">
        <f>Eingabeblatt!C28</f>
        <v>0</v>
      </c>
      <c r="I6">
        <f>H6*C53</f>
        <v>0</v>
      </c>
    </row>
    <row r="7" spans="2:9" ht="12.75">
      <c r="B7" t="s">
        <v>26</v>
      </c>
      <c r="C7">
        <f>IF(AND(C2&lt;5,C1*D7&gt;C56),C56,IF(AND(C2&gt;=5,C2&lt;9,C1*D7&gt;C57),C57,IF(AND(C2&gt;=9,C2&lt;14,C1*D7&gt;C58),C58,IF(AND(C2&gt;=14,C2&lt;19,C1*D7&gt;C59),C59,IF(AND(C2&gt;=19,C1*D7&gt;C60),C60,C1*D7)))))</f>
        <v>0</v>
      </c>
      <c r="D7">
        <f>D2-D4-D5-D6</f>
        <v>0.13</v>
      </c>
      <c r="H7">
        <f>IF(AND(H2&lt;5,H1*I7&gt;C56),C56,IF(AND(H2&gt;=5,H2&lt;9,H1*I7&gt;C57),C57,IF(AND(H2&gt;=9,H2&lt;14,H1*I7&gt;C58),C58,IF(AND(H2&gt;=14,H2&lt;19,H1*I7&gt;C59),C59,IF(AND(H2&gt;=19,,H1*I7&gt;C60),C60,H1*I7)))))</f>
        <v>0</v>
      </c>
      <c r="I7">
        <f>I2-I4-I5-I6</f>
        <v>0.13</v>
      </c>
    </row>
    <row r="12" spans="2:8" ht="12.75">
      <c r="B12" t="s">
        <v>72</v>
      </c>
      <c r="C12" s="19" t="b">
        <f>IF(OR(G44="j",G48="j",G52="j"),(C7/6),IF(OR(G45="j",G47="j",G50="j",G51="j"),(C7/3),IF(OR(G46="j",G49="j"),(C7*2/3))))</f>
        <v>0</v>
      </c>
      <c r="H12" s="19" t="b">
        <f>IF(OR(G44="j",G48="j",G52="j"),(H7/6),IF(OR(G45="j",G47="j",G50="j",G51="j"),(H7/3),IF(OR(G46="j",G49="j"),(H7*2/3))))</f>
        <v>0</v>
      </c>
    </row>
    <row r="14" spans="2:8" ht="12.75">
      <c r="B14" t="s">
        <v>73</v>
      </c>
      <c r="C14" s="3">
        <f>C1-C12</f>
        <v>0</v>
      </c>
      <c r="D14" s="4"/>
      <c r="E14" s="4"/>
      <c r="F14" s="4"/>
      <c r="G14" s="4"/>
      <c r="H14" s="5">
        <f>H1-H12</f>
        <v>0</v>
      </c>
    </row>
    <row r="15" spans="2:8" ht="38.25">
      <c r="B15" s="6" t="s">
        <v>56</v>
      </c>
      <c r="C15" s="7">
        <f>IF(AND(C3="j",C4=0),1+1+C5+C6,1+C5+C6)</f>
        <v>1</v>
      </c>
      <c r="D15" s="4"/>
      <c r="E15" s="4"/>
      <c r="F15" s="4"/>
      <c r="G15" s="4"/>
      <c r="H15" s="8">
        <f>IF(AND(H3="j",H4=0),1+1+H5+H6,1+H5+H6)</f>
        <v>1</v>
      </c>
    </row>
    <row r="16" spans="2:8" ht="25.5">
      <c r="B16" s="6" t="s">
        <v>57</v>
      </c>
      <c r="C16" s="3">
        <f>VLOOKUP(C15,A110:C114,3)</f>
        <v>1040.2559999999999</v>
      </c>
      <c r="D16" s="4"/>
      <c r="E16" s="4"/>
      <c r="F16" s="4"/>
      <c r="G16" s="4"/>
      <c r="H16" s="5">
        <f>VLOOKUP(H15,A110:C114,3)</f>
        <v>1040.2559999999999</v>
      </c>
    </row>
    <row r="17" spans="3:8" ht="12.75">
      <c r="C17" s="1"/>
      <c r="D17" s="4"/>
      <c r="E17" s="4"/>
      <c r="F17" s="4"/>
      <c r="G17" s="4"/>
      <c r="H17" s="9"/>
    </row>
    <row r="18" spans="2:8" ht="12.75">
      <c r="B18" t="s">
        <v>13</v>
      </c>
      <c r="C18" s="10">
        <f>IF(C14&lt;=C16,(C1-C16),C12)</f>
        <v>-1040.2559999999999</v>
      </c>
      <c r="D18" s="87">
        <f>IF((ROUND(C18,0)+C16)&gt;C1,ROUNDDOWN(C18,0),ROUND(C18,0))</f>
        <v>-1040</v>
      </c>
      <c r="E18" s="11"/>
      <c r="F18" s="4"/>
      <c r="G18" s="87">
        <f>IF((ROUND(H18,0)+H16)&gt;H1,ROUNDDOWN(H18,0),ROUND(H18,0))</f>
        <v>-1040</v>
      </c>
      <c r="H18" s="10">
        <f>IF(H14&lt;=H16,(H1-H16),H12)</f>
        <v>-1040.2559999999999</v>
      </c>
    </row>
    <row r="19" spans="2:3" ht="12.75">
      <c r="B19" t="s">
        <v>27</v>
      </c>
      <c r="C19">
        <f>C7-C12</f>
        <v>0</v>
      </c>
    </row>
    <row r="20" spans="2:8" ht="12.75">
      <c r="B20" t="s">
        <v>103</v>
      </c>
      <c r="C20" s="11">
        <f>IF(C18&gt;60,60,IF(C18&lt;0,0,C18))</f>
        <v>0</v>
      </c>
      <c r="D20" s="11">
        <f>IF(C18&gt;30,30,IF(C18&lt;0,0,C18))</f>
        <v>0</v>
      </c>
      <c r="G20" s="11">
        <f>IF(H18&gt;30,30,IF(H18&lt;0,0,H18))</f>
        <v>0</v>
      </c>
      <c r="H20" s="11">
        <f>IF(H18&gt;60,60,IF(H18&lt;0,0,H18))</f>
        <v>0</v>
      </c>
    </row>
    <row r="21" spans="2:8" ht="12.75">
      <c r="B21" t="s">
        <v>104</v>
      </c>
      <c r="C21" s="11">
        <f>IF(C18&gt;170,170,IF(C18&lt;0,0,C18))</f>
        <v>0</v>
      </c>
      <c r="H21" s="11">
        <f>IF(H18&gt;170,170,IF(H18&lt;0,0,H18))</f>
        <v>0</v>
      </c>
    </row>
    <row r="24" spans="2:9" ht="145.5">
      <c r="B24" s="12" t="s">
        <v>58</v>
      </c>
      <c r="C24" s="13" t="s">
        <v>55</v>
      </c>
      <c r="D24" s="13" t="s">
        <v>59</v>
      </c>
      <c r="E24" s="13" t="s">
        <v>60</v>
      </c>
      <c r="F24" s="13" t="s">
        <v>25</v>
      </c>
      <c r="G24" s="13" t="s">
        <v>61</v>
      </c>
      <c r="H24" s="14" t="s">
        <v>62</v>
      </c>
      <c r="I24" s="14" t="s">
        <v>63</v>
      </c>
    </row>
    <row r="25" spans="2:9" ht="12.75">
      <c r="B25" s="18" t="b">
        <f>IF(AND(C1-C12&lt;=C110,C5+C6=0,C3="n",C4=0),(C1-C110),C12)</f>
        <v>0</v>
      </c>
      <c r="C25" s="15">
        <f>$C$1-$C$12</f>
        <v>0</v>
      </c>
      <c r="D25" s="15">
        <f>C110</f>
        <v>1040.2559999999999</v>
      </c>
      <c r="E25" s="16">
        <v>0</v>
      </c>
      <c r="F25" s="16" t="s">
        <v>17</v>
      </c>
      <c r="G25" s="16">
        <v>0</v>
      </c>
      <c r="H25" s="17" t="e">
        <f>IF(C25&lt;=D25,($C$1-D25)/$C$8,$C$12/$C$8)</f>
        <v>#DIV/0!</v>
      </c>
      <c r="I25" s="16">
        <v>1</v>
      </c>
    </row>
    <row r="26" spans="2:9" ht="12.75">
      <c r="B26" s="18" t="b">
        <f>IF(AND(C1-C12&lt;=C111,C5+C6=1,C3="n",C4=0),(C1-C111),C12)</f>
        <v>0</v>
      </c>
      <c r="C26" s="15">
        <f aca="true" t="shared" si="0" ref="C26:C38">$C$1-$C$12</f>
        <v>0</v>
      </c>
      <c r="D26" s="15">
        <f>C111</f>
        <v>1213.6319999999998</v>
      </c>
      <c r="E26" s="16">
        <v>1</v>
      </c>
      <c r="F26" s="16" t="s">
        <v>17</v>
      </c>
      <c r="G26" s="16">
        <v>0</v>
      </c>
      <c r="H26" s="17" t="e">
        <f aca="true" t="shared" si="1" ref="H26:H38">IF(C26&lt;=D26,($C$1-D26)/$C$8,$C$12/$C$8)</f>
        <v>#DIV/0!</v>
      </c>
      <c r="I26" s="16">
        <v>2</v>
      </c>
    </row>
    <row r="27" spans="2:9" ht="12.75">
      <c r="B27" s="18" t="b">
        <f>IF(AND(C1-C12&lt;=C112,C5+C6=2,C3="n",C4=0),(C1-C112),C12)</f>
        <v>0</v>
      </c>
      <c r="C27" s="15">
        <f t="shared" si="0"/>
        <v>0</v>
      </c>
      <c r="D27" s="15">
        <f>C112</f>
        <v>1387.0079999999998</v>
      </c>
      <c r="E27" s="16">
        <v>2</v>
      </c>
      <c r="F27" s="16" t="s">
        <v>17</v>
      </c>
      <c r="G27" s="16">
        <v>0</v>
      </c>
      <c r="H27" s="17" t="e">
        <f t="shared" si="1"/>
        <v>#DIV/0!</v>
      </c>
      <c r="I27" s="16">
        <v>3</v>
      </c>
    </row>
    <row r="28" spans="2:9" ht="12.75">
      <c r="B28" s="18" t="b">
        <f>IF(AND(C1-C12&lt;=C113,C5+C6=3,C3="n",C4=0),(C1-C113),C12)</f>
        <v>0</v>
      </c>
      <c r="C28" s="15">
        <f t="shared" si="0"/>
        <v>0</v>
      </c>
      <c r="D28" s="15">
        <f>C113</f>
        <v>1560.3839999999998</v>
      </c>
      <c r="E28" s="16">
        <v>3</v>
      </c>
      <c r="F28" s="16" t="s">
        <v>17</v>
      </c>
      <c r="G28" s="16">
        <v>0</v>
      </c>
      <c r="H28" s="17" t="e">
        <f t="shared" si="1"/>
        <v>#DIV/0!</v>
      </c>
      <c r="I28" s="16">
        <v>4</v>
      </c>
    </row>
    <row r="29" spans="2:9" ht="12.75">
      <c r="B29" s="18" t="b">
        <f>IF(AND(C1-C12&lt;=C114,C5+C6&gt;=4),(C1-C114),C12)</f>
        <v>0</v>
      </c>
      <c r="C29" s="15">
        <f t="shared" si="0"/>
        <v>0</v>
      </c>
      <c r="D29" s="15">
        <f>C114</f>
        <v>1733.7599999999998</v>
      </c>
      <c r="E29" s="16" t="s">
        <v>64</v>
      </c>
      <c r="F29" s="16"/>
      <c r="G29" s="16"/>
      <c r="H29" s="17" t="e">
        <f t="shared" si="1"/>
        <v>#DIV/0!</v>
      </c>
      <c r="I29" s="16">
        <v>5</v>
      </c>
    </row>
    <row r="30" spans="2:9" ht="12.75">
      <c r="B30" s="18" t="b">
        <f>IF(AND(C1-C12&lt;=C110,C5+C6=0,C3="j",C4&gt;0),(C1-C110),C12)</f>
        <v>0</v>
      </c>
      <c r="C30" s="15">
        <f t="shared" si="0"/>
        <v>0</v>
      </c>
      <c r="D30" s="15">
        <f>C110</f>
        <v>1040.2559999999999</v>
      </c>
      <c r="E30" s="16">
        <v>0</v>
      </c>
      <c r="F30" s="16" t="s">
        <v>53</v>
      </c>
      <c r="G30" s="16" t="s">
        <v>65</v>
      </c>
      <c r="H30" s="17" t="e">
        <f t="shared" si="1"/>
        <v>#DIV/0!</v>
      </c>
      <c r="I30" s="16">
        <v>1</v>
      </c>
    </row>
    <row r="31" spans="2:9" ht="12.75">
      <c r="B31" s="18" t="b">
        <f>IF(AND(C1-C12&lt;=C111,C5+C6=1,C3="j",C4&gt;0),(C1-C111),C12)</f>
        <v>0</v>
      </c>
      <c r="C31" s="15">
        <f t="shared" si="0"/>
        <v>0</v>
      </c>
      <c r="D31" s="15">
        <f>C111</f>
        <v>1213.6319999999998</v>
      </c>
      <c r="E31" s="16">
        <v>1</v>
      </c>
      <c r="F31" s="16" t="s">
        <v>53</v>
      </c>
      <c r="G31" s="16" t="s">
        <v>65</v>
      </c>
      <c r="H31" s="17" t="e">
        <f t="shared" si="1"/>
        <v>#DIV/0!</v>
      </c>
      <c r="I31" s="16">
        <v>2</v>
      </c>
    </row>
    <row r="32" spans="2:9" ht="12.75">
      <c r="B32" s="18" t="b">
        <f>IF(AND(C1-C12&lt;=C112,C5+C6=2,C3="j",C4&gt;0),(C1-C112),C12)</f>
        <v>0</v>
      </c>
      <c r="C32" s="15">
        <f t="shared" si="0"/>
        <v>0</v>
      </c>
      <c r="D32" s="15">
        <f>C112</f>
        <v>1387.0079999999998</v>
      </c>
      <c r="E32" s="16">
        <v>2</v>
      </c>
      <c r="F32" s="16" t="s">
        <v>53</v>
      </c>
      <c r="G32" s="16" t="s">
        <v>65</v>
      </c>
      <c r="H32" s="17" t="e">
        <f>IF(C32&lt;=D32,($C$1-D32)/$C$8,$C$12/$C$8)</f>
        <v>#DIV/0!</v>
      </c>
      <c r="I32" s="16">
        <v>3</v>
      </c>
    </row>
    <row r="33" spans="2:9" ht="12.75">
      <c r="B33" s="18" t="b">
        <f>IF(AND(C1-C12&lt;=C113,C5+C6=3,C3="j",C4&gt;0),(C1-C113),C12)</f>
        <v>0</v>
      </c>
      <c r="C33" s="15">
        <f t="shared" si="0"/>
        <v>0</v>
      </c>
      <c r="D33" s="15">
        <f>C113</f>
        <v>1560.3839999999998</v>
      </c>
      <c r="E33" s="16">
        <v>3</v>
      </c>
      <c r="F33" s="16" t="s">
        <v>53</v>
      </c>
      <c r="G33" s="16" t="s">
        <v>65</v>
      </c>
      <c r="H33" s="17" t="e">
        <f t="shared" si="1"/>
        <v>#DIV/0!</v>
      </c>
      <c r="I33" s="16">
        <v>4</v>
      </c>
    </row>
    <row r="34" spans="2:9" ht="12.75">
      <c r="B34" s="18" t="b">
        <f>IF(AND(C1-C12&lt;=C114,C5+C6=3,C3="j",C4&gt;0),(C1-C114),C12)</f>
        <v>0</v>
      </c>
      <c r="C34" s="15">
        <f t="shared" si="0"/>
        <v>0</v>
      </c>
      <c r="D34" s="15">
        <f>C114</f>
        <v>1733.7599999999998</v>
      </c>
      <c r="E34" s="16">
        <v>4</v>
      </c>
      <c r="F34" s="16" t="s">
        <v>53</v>
      </c>
      <c r="G34" s="16" t="s">
        <v>65</v>
      </c>
      <c r="H34" s="17" t="e">
        <f>IF(C34&lt;=D34,($C$1-D34)/$C$8,$C$12/$C$8)</f>
        <v>#DIV/0!</v>
      </c>
      <c r="I34" s="16">
        <v>5</v>
      </c>
    </row>
    <row r="35" spans="2:9" ht="12.75">
      <c r="B35" s="18" t="b">
        <f>IF(AND(C1-C12&lt;=C111,C5+C6=0,C3="j",C4=0),(C1-C111),C12)</f>
        <v>0</v>
      </c>
      <c r="C35" s="15">
        <f t="shared" si="0"/>
        <v>0</v>
      </c>
      <c r="D35" s="15">
        <f>C111</f>
        <v>1213.6319999999998</v>
      </c>
      <c r="E35" s="16">
        <v>0</v>
      </c>
      <c r="F35" s="16" t="s">
        <v>53</v>
      </c>
      <c r="G35" s="16">
        <v>0</v>
      </c>
      <c r="H35" s="17" t="e">
        <f t="shared" si="1"/>
        <v>#DIV/0!</v>
      </c>
      <c r="I35" s="16">
        <v>2</v>
      </c>
    </row>
    <row r="36" spans="2:9" ht="12.75">
      <c r="B36" s="18" t="b">
        <f>IF(AND(C1-C12&lt;=C112,C5+C6=1,C3="j",C4=0),(C1-C112),C12)</f>
        <v>0</v>
      </c>
      <c r="C36" s="15">
        <f t="shared" si="0"/>
        <v>0</v>
      </c>
      <c r="D36" s="15">
        <f>C112</f>
        <v>1387.0079999999998</v>
      </c>
      <c r="E36" s="16">
        <v>1</v>
      </c>
      <c r="F36" s="16" t="s">
        <v>53</v>
      </c>
      <c r="G36" s="16">
        <v>0</v>
      </c>
      <c r="H36" s="17" t="e">
        <f t="shared" si="1"/>
        <v>#DIV/0!</v>
      </c>
      <c r="I36" s="16">
        <v>3</v>
      </c>
    </row>
    <row r="37" spans="2:9" ht="12.75">
      <c r="B37" s="18" t="b">
        <f>IF(AND(C1-C12&lt;=C113,C5+C6=2,C3="j",C4=0),(C1-C113),C12)</f>
        <v>0</v>
      </c>
      <c r="C37" s="15">
        <f t="shared" si="0"/>
        <v>0</v>
      </c>
      <c r="D37" s="15">
        <f>C113</f>
        <v>1560.3839999999998</v>
      </c>
      <c r="E37" s="16">
        <v>2</v>
      </c>
      <c r="F37" s="16" t="s">
        <v>53</v>
      </c>
      <c r="G37" s="16">
        <v>0</v>
      </c>
      <c r="H37" s="17" t="e">
        <f t="shared" si="1"/>
        <v>#DIV/0!</v>
      </c>
      <c r="I37" s="16">
        <v>4</v>
      </c>
    </row>
    <row r="38" spans="2:9" ht="12.75">
      <c r="B38" s="18" t="b">
        <f>IF(AND(C1-C12&lt;=C114,C5+C6=3,C3="j",C4=0),(C1-C114),C12)</f>
        <v>0</v>
      </c>
      <c r="C38" s="15">
        <f t="shared" si="0"/>
        <v>0</v>
      </c>
      <c r="D38" s="15">
        <f>C114</f>
        <v>1733.7599999999998</v>
      </c>
      <c r="E38" s="16">
        <v>3</v>
      </c>
      <c r="F38" s="16" t="s">
        <v>53</v>
      </c>
      <c r="G38" s="16">
        <v>0</v>
      </c>
      <c r="H38" s="17" t="e">
        <f t="shared" si="1"/>
        <v>#DIV/0!</v>
      </c>
      <c r="I38" s="16">
        <v>5</v>
      </c>
    </row>
    <row r="42" spans="2:4" ht="12.75">
      <c r="B42" s="111" t="s">
        <v>124</v>
      </c>
      <c r="D42" s="75" t="s">
        <v>125</v>
      </c>
    </row>
    <row r="43" spans="2:3" ht="12.75">
      <c r="B43" s="112" t="s">
        <v>28</v>
      </c>
      <c r="C43" s="2">
        <v>0.16</v>
      </c>
    </row>
    <row r="44" spans="2:7" ht="12.75">
      <c r="B44" s="112" t="s">
        <v>29</v>
      </c>
      <c r="C44" s="2">
        <v>0.18</v>
      </c>
      <c r="F44" t="s">
        <v>97</v>
      </c>
      <c r="G44">
        <f>Eingabeblatt!B3</f>
        <v>0</v>
      </c>
    </row>
    <row r="45" spans="2:7" ht="12.75">
      <c r="B45" s="112" t="s">
        <v>30</v>
      </c>
      <c r="C45" s="2">
        <v>0.2</v>
      </c>
      <c r="F45" t="s">
        <v>51</v>
      </c>
      <c r="G45">
        <f>Eingabeblatt!B4</f>
        <v>0</v>
      </c>
    </row>
    <row r="46" spans="2:7" ht="12.75">
      <c r="B46" s="112" t="s">
        <v>31</v>
      </c>
      <c r="C46" s="2">
        <v>0.22</v>
      </c>
      <c r="F46" t="s">
        <v>52</v>
      </c>
      <c r="G46">
        <f>Eingabeblatt!B5</f>
        <v>0</v>
      </c>
    </row>
    <row r="47" spans="2:7" ht="12.75">
      <c r="B47" s="114" t="s">
        <v>126</v>
      </c>
      <c r="F47" t="s">
        <v>54</v>
      </c>
      <c r="G47">
        <f>Eingabeblatt!B6</f>
        <v>0</v>
      </c>
    </row>
    <row r="48" spans="2:7" ht="12.75">
      <c r="B48" s="115" t="s">
        <v>32</v>
      </c>
      <c r="C48" s="2">
        <v>0.03</v>
      </c>
      <c r="F48" t="s">
        <v>80</v>
      </c>
      <c r="G48">
        <f>Eingabeblatt!B7</f>
        <v>0</v>
      </c>
    </row>
    <row r="49" spans="2:7" ht="12.75">
      <c r="B49" s="115" t="s">
        <v>33</v>
      </c>
      <c r="C49" s="2">
        <v>0.02</v>
      </c>
      <c r="F49" t="s">
        <v>70</v>
      </c>
      <c r="G49">
        <f>Eingabeblatt!B8</f>
        <v>0</v>
      </c>
    </row>
    <row r="50" spans="2:7" ht="12.75">
      <c r="B50" s="115" t="s">
        <v>34</v>
      </c>
      <c r="C50" s="2">
        <v>0.01</v>
      </c>
      <c r="F50" t="s">
        <v>71</v>
      </c>
      <c r="G50">
        <f>Eingabeblatt!B9</f>
        <v>0</v>
      </c>
    </row>
    <row r="51" spans="2:7" ht="12.75">
      <c r="B51" s="115" t="s">
        <v>35</v>
      </c>
      <c r="C51" s="2">
        <v>0</v>
      </c>
      <c r="F51" t="s">
        <v>94</v>
      </c>
      <c r="G51">
        <f>Eingabeblatt!B10</f>
        <v>0</v>
      </c>
    </row>
    <row r="52" spans="1:7" ht="12.75">
      <c r="A52" s="113" t="s">
        <v>130</v>
      </c>
      <c r="B52" s="103" t="s">
        <v>36</v>
      </c>
      <c r="C52" s="2">
        <v>0.01</v>
      </c>
      <c r="F52" t="s">
        <v>98</v>
      </c>
      <c r="G52">
        <f>Eingabeblatt!B11</f>
        <v>0</v>
      </c>
    </row>
    <row r="53" spans="2:3" ht="12.75">
      <c r="B53" s="103" t="s">
        <v>37</v>
      </c>
      <c r="C53" s="2">
        <v>0.02</v>
      </c>
    </row>
    <row r="55" spans="2:5" ht="12.75">
      <c r="B55" t="s">
        <v>38</v>
      </c>
      <c r="C55" s="109" t="s">
        <v>123</v>
      </c>
      <c r="D55" s="108">
        <v>2024</v>
      </c>
      <c r="E55" s="75" t="s">
        <v>118</v>
      </c>
    </row>
    <row r="56" spans="2:4" ht="12.75">
      <c r="B56" t="s">
        <v>119</v>
      </c>
      <c r="C56" s="1">
        <f>D56*2.5</f>
        <v>850</v>
      </c>
      <c r="D56" s="110">
        <v>340</v>
      </c>
    </row>
    <row r="57" spans="2:4" ht="12.75">
      <c r="B57" t="s">
        <v>120</v>
      </c>
      <c r="C57" s="1">
        <f>D57*2.5</f>
        <v>1075</v>
      </c>
      <c r="D57" s="110">
        <v>430</v>
      </c>
    </row>
    <row r="58" spans="2:4" ht="12.75">
      <c r="B58" t="s">
        <v>121</v>
      </c>
      <c r="C58" s="1">
        <f>D58*2.5</f>
        <v>1325</v>
      </c>
      <c r="D58" s="110">
        <v>530</v>
      </c>
    </row>
    <row r="59" spans="2:4" ht="12.75">
      <c r="B59" t="s">
        <v>122</v>
      </c>
      <c r="C59" s="1">
        <f>D59*2.5</f>
        <v>1650</v>
      </c>
      <c r="D59" s="110">
        <v>660</v>
      </c>
    </row>
    <row r="60" spans="2:4" ht="12.75">
      <c r="B60" t="s">
        <v>39</v>
      </c>
      <c r="C60" s="1">
        <f>D60*2.5</f>
        <v>1900</v>
      </c>
      <c r="D60" s="110">
        <v>760</v>
      </c>
    </row>
    <row r="61" ht="12.75">
      <c r="C61" s="1"/>
    </row>
    <row r="62" ht="12.75">
      <c r="C62" s="1"/>
    </row>
    <row r="63" ht="12.75">
      <c r="C63" s="1"/>
    </row>
    <row r="66" ht="12.75">
      <c r="B66" t="s">
        <v>40</v>
      </c>
    </row>
    <row r="67" spans="2:3" ht="12.75">
      <c r="B67" t="s">
        <v>14</v>
      </c>
      <c r="C67">
        <f>Eingabeblatt!B31</f>
        <v>0</v>
      </c>
    </row>
    <row r="68" spans="2:3" ht="12.75">
      <c r="B68" t="s">
        <v>41</v>
      </c>
      <c r="C68">
        <f>Eingabeblatt!B32</f>
        <v>0</v>
      </c>
    </row>
    <row r="69" spans="2:3" ht="12.75">
      <c r="B69" t="s">
        <v>7</v>
      </c>
      <c r="C69">
        <f>Eingabeblatt!B33</f>
        <v>0</v>
      </c>
    </row>
    <row r="70" spans="2:3" ht="12.75">
      <c r="B70" t="s">
        <v>42</v>
      </c>
      <c r="C70" s="1">
        <f>IF(AND(C68&gt;0,C68&lt;=C67),((C67+C68)*(0.4-C69*0.04)-C68),C67*(C74-C69*0.04))</f>
        <v>0</v>
      </c>
    </row>
    <row r="72" ht="12.75">
      <c r="B72" s="101" t="s">
        <v>129</v>
      </c>
    </row>
    <row r="73" spans="2:3" ht="12.75">
      <c r="B73" s="70" t="s">
        <v>128</v>
      </c>
      <c r="C73" s="2">
        <v>0.04</v>
      </c>
    </row>
    <row r="74" spans="2:3" ht="12.75">
      <c r="B74" s="70" t="s">
        <v>127</v>
      </c>
      <c r="C74" s="2">
        <v>0.33</v>
      </c>
    </row>
    <row r="76" spans="2:3" ht="12.75">
      <c r="B76" t="s">
        <v>72</v>
      </c>
      <c r="C76" t="b">
        <f>IF(OR(G44="j",G52="j"),(C70/6),IF(G45="j",(C70/3),IF(G46="j",(C70*2/3),IF(G47="j",0,IF(G48="j",0,IF(G49="j",0,IF(OR(G50="j",G51="j",G53="j"),(C70/3))))))))</f>
        <v>0</v>
      </c>
    </row>
    <row r="78" spans="2:3" ht="12.75">
      <c r="B78" t="s">
        <v>75</v>
      </c>
      <c r="C78" s="3">
        <f>C67-C76</f>
        <v>0</v>
      </c>
    </row>
    <row r="79" spans="2:3" ht="38.25">
      <c r="B79" s="6" t="s">
        <v>66</v>
      </c>
      <c r="C79" s="7">
        <f>IF(C68=0,1+C69,C69)</f>
        <v>1</v>
      </c>
    </row>
    <row r="80" spans="2:3" ht="25.5">
      <c r="B80" s="6" t="s">
        <v>57</v>
      </c>
      <c r="C80" s="3">
        <f>VLOOKUP(C79,A109:C114,3)</f>
        <v>1040.2559999999999</v>
      </c>
    </row>
    <row r="81" ht="12.75">
      <c r="C81" s="1"/>
    </row>
    <row r="82" spans="2:4" ht="12.75">
      <c r="B82" t="s">
        <v>13</v>
      </c>
      <c r="C82" s="19">
        <f>IF(C78&lt;=C80,(C67-C80),C76)</f>
        <v>-1040.2559999999999</v>
      </c>
      <c r="D82" s="88">
        <f>IF((ROUND(C82,0)+C80)&gt;C67,ROUNDDOWN(C82,0),ROUND(C82,0))</f>
        <v>-1040</v>
      </c>
    </row>
    <row r="83" spans="2:3" ht="12.75">
      <c r="B83" t="s">
        <v>27</v>
      </c>
      <c r="C83" s="1">
        <f>C70-C76</f>
        <v>0</v>
      </c>
    </row>
    <row r="86" spans="2:7" ht="145.5">
      <c r="B86" s="12" t="s">
        <v>58</v>
      </c>
      <c r="C86" s="13" t="s">
        <v>55</v>
      </c>
      <c r="D86" s="13" t="s">
        <v>59</v>
      </c>
      <c r="E86" s="13" t="s">
        <v>7</v>
      </c>
      <c r="F86" s="13" t="s">
        <v>15</v>
      </c>
      <c r="G86" s="14" t="s">
        <v>67</v>
      </c>
    </row>
    <row r="87" spans="2:7" ht="12.75">
      <c r="B87" s="18">
        <f>IF(AND(C67-C76&lt;=C110,C69=0,C68=0),(C67-C110),C76)</f>
        <v>-1040.2559999999999</v>
      </c>
      <c r="C87" s="15">
        <f aca="true" t="shared" si="2" ref="C87:C98">$C$67-$C$76</f>
        <v>0</v>
      </c>
      <c r="D87" s="15">
        <f>C110</f>
        <v>1040.2559999999999</v>
      </c>
      <c r="E87" s="16">
        <v>0</v>
      </c>
      <c r="F87" s="16">
        <v>0</v>
      </c>
      <c r="G87" s="16">
        <v>1</v>
      </c>
    </row>
    <row r="88" spans="2:7" ht="12.75">
      <c r="B88" s="18" t="b">
        <f>IF(AND(C67-C76&lt;=C111,C69=1,C68=0),(C67-C111),C76)</f>
        <v>0</v>
      </c>
      <c r="C88" s="15">
        <f t="shared" si="2"/>
        <v>0</v>
      </c>
      <c r="D88" s="15">
        <f>C111</f>
        <v>1213.6319999999998</v>
      </c>
      <c r="E88" s="16">
        <v>1</v>
      </c>
      <c r="F88" s="16">
        <v>0</v>
      </c>
      <c r="G88" s="16">
        <v>2</v>
      </c>
    </row>
    <row r="89" spans="2:7" ht="12.75">
      <c r="B89" s="18" t="b">
        <f>IF(AND(C67-C76&lt;=C112,C69=2,C68=0),(C67-C112),C76)</f>
        <v>0</v>
      </c>
      <c r="C89" s="15">
        <f t="shared" si="2"/>
        <v>0</v>
      </c>
      <c r="D89" s="15">
        <f>C112</f>
        <v>1387.0079999999998</v>
      </c>
      <c r="E89" s="16">
        <v>2</v>
      </c>
      <c r="F89" s="16">
        <v>0</v>
      </c>
      <c r="G89" s="16">
        <v>3</v>
      </c>
    </row>
    <row r="90" spans="2:7" ht="12.75">
      <c r="B90" s="18" t="b">
        <f>IF(AND(C67-C76&lt;=C113,C69=3,C68=0),(C67-C113),C76)</f>
        <v>0</v>
      </c>
      <c r="C90" s="15">
        <f t="shared" si="2"/>
        <v>0</v>
      </c>
      <c r="D90" s="15">
        <f>C113</f>
        <v>1560.3839999999998</v>
      </c>
      <c r="E90" s="16">
        <v>3</v>
      </c>
      <c r="F90" s="16">
        <v>0</v>
      </c>
      <c r="G90" s="16">
        <v>4</v>
      </c>
    </row>
    <row r="91" spans="2:7" ht="12.75">
      <c r="B91" s="18" t="b">
        <f>IF(AND(C67-C76&lt;=C114,C69=4,C68=0),(C67-C114),C76)</f>
        <v>0</v>
      </c>
      <c r="C91" s="15">
        <f t="shared" si="2"/>
        <v>0</v>
      </c>
      <c r="D91" s="15">
        <f>C114</f>
        <v>1733.7599999999998</v>
      </c>
      <c r="E91" s="16">
        <v>4</v>
      </c>
      <c r="F91" s="16">
        <v>0</v>
      </c>
      <c r="G91" s="16">
        <v>5</v>
      </c>
    </row>
    <row r="92" spans="2:7" ht="12.75">
      <c r="B92" s="18" t="b">
        <f>IF(AND(C67-C76&lt;=C114,C69&gt;=5),(C67-C114),C76)</f>
        <v>0</v>
      </c>
      <c r="C92" s="15">
        <f t="shared" si="2"/>
        <v>0</v>
      </c>
      <c r="D92" s="15">
        <f>C114</f>
        <v>1733.7599999999998</v>
      </c>
      <c r="E92" s="16" t="s">
        <v>68</v>
      </c>
      <c r="F92" s="16"/>
      <c r="G92" s="16" t="s">
        <v>68</v>
      </c>
    </row>
    <row r="93" spans="2:7" ht="12.75">
      <c r="B93" s="18" t="b">
        <f>IF(AND(C67-C76&lt;=C109,C69=0,C68&gt;0),(C67-C109),C76)</f>
        <v>0</v>
      </c>
      <c r="C93" s="15">
        <f t="shared" si="2"/>
        <v>0</v>
      </c>
      <c r="D93" s="15">
        <f aca="true" t="shared" si="3" ref="D93:D98">C109</f>
        <v>866.8799999999999</v>
      </c>
      <c r="E93" s="16">
        <v>0</v>
      </c>
      <c r="F93" s="16" t="s">
        <v>65</v>
      </c>
      <c r="G93" s="16">
        <v>0</v>
      </c>
    </row>
    <row r="94" spans="2:7" ht="12.75">
      <c r="B94" s="18" t="b">
        <f>IF(AND(C67-C76&lt;=C110,C69=1,C68&gt;0),(C67-C110),C76)</f>
        <v>0</v>
      </c>
      <c r="C94" s="15">
        <f t="shared" si="2"/>
        <v>0</v>
      </c>
      <c r="D94" s="15">
        <f t="shared" si="3"/>
        <v>1040.2559999999999</v>
      </c>
      <c r="E94" s="16">
        <v>1</v>
      </c>
      <c r="F94" s="16" t="s">
        <v>65</v>
      </c>
      <c r="G94" s="16">
        <v>1</v>
      </c>
    </row>
    <row r="95" spans="2:7" ht="12.75">
      <c r="B95" s="18" t="b">
        <f>IF(AND(C67-C76&lt;=C111,C69=2,C68&gt;0),(C67-C111),C76)</f>
        <v>0</v>
      </c>
      <c r="C95" s="15">
        <f t="shared" si="2"/>
        <v>0</v>
      </c>
      <c r="D95" s="15">
        <f t="shared" si="3"/>
        <v>1213.6319999999998</v>
      </c>
      <c r="E95" s="16">
        <v>2</v>
      </c>
      <c r="F95" s="16" t="s">
        <v>65</v>
      </c>
      <c r="G95" s="16">
        <v>2</v>
      </c>
    </row>
    <row r="96" spans="2:7" ht="12.75">
      <c r="B96" s="18" t="b">
        <f>IF(AND(C67-C76&lt;=C112,C69=3,C68&gt;0),(C67-C112),C76)</f>
        <v>0</v>
      </c>
      <c r="C96" s="15">
        <f t="shared" si="2"/>
        <v>0</v>
      </c>
      <c r="D96" s="15">
        <f t="shared" si="3"/>
        <v>1387.0079999999998</v>
      </c>
      <c r="E96" s="16">
        <v>3</v>
      </c>
      <c r="F96" s="16" t="s">
        <v>65</v>
      </c>
      <c r="G96" s="16">
        <v>3</v>
      </c>
    </row>
    <row r="97" spans="2:7" ht="12.75">
      <c r="B97" s="18" t="b">
        <f>IF(AND(C67-C76&lt;=C113,C69=4,C68&gt;0),(C67-C113),C76)</f>
        <v>0</v>
      </c>
      <c r="C97" s="15">
        <f t="shared" si="2"/>
        <v>0</v>
      </c>
      <c r="D97" s="15">
        <f t="shared" si="3"/>
        <v>1560.3839999999998</v>
      </c>
      <c r="E97" s="16">
        <v>4</v>
      </c>
      <c r="F97" s="16" t="s">
        <v>65</v>
      </c>
      <c r="G97" s="16">
        <v>4</v>
      </c>
    </row>
    <row r="98" spans="2:7" ht="12.75">
      <c r="B98" s="18" t="b">
        <f>IF(AND(C67-C76&lt;=C114,C69&gt;=5,C68&gt;0),(C67-C114),C76)</f>
        <v>0</v>
      </c>
      <c r="C98" s="15">
        <f t="shared" si="2"/>
        <v>0</v>
      </c>
      <c r="D98" s="15">
        <f t="shared" si="3"/>
        <v>1733.7599999999998</v>
      </c>
      <c r="E98" s="16" t="s">
        <v>68</v>
      </c>
      <c r="F98" s="16" t="s">
        <v>65</v>
      </c>
      <c r="G98" s="16" t="s">
        <v>68</v>
      </c>
    </row>
    <row r="108" ht="12.75">
      <c r="A108" s="4" t="s">
        <v>69</v>
      </c>
    </row>
    <row r="109" spans="1:5" ht="12.75">
      <c r="A109" s="4">
        <v>0</v>
      </c>
      <c r="B109" t="s">
        <v>19</v>
      </c>
      <c r="C109" s="19">
        <f>Einkommen!C23-(Einkommen!C23*0.25)</f>
        <v>866.8799999999999</v>
      </c>
      <c r="D109" s="19">
        <f>C109*0.2</f>
        <v>173.37599999999998</v>
      </c>
      <c r="E109" t="s">
        <v>74</v>
      </c>
    </row>
    <row r="110" spans="1:3" ht="12.75">
      <c r="A110" s="4">
        <v>1</v>
      </c>
      <c r="B110" t="s">
        <v>20</v>
      </c>
      <c r="C110" s="19">
        <f>C109+D109</f>
        <v>1040.2559999999999</v>
      </c>
    </row>
    <row r="111" spans="1:3" ht="12.75">
      <c r="A111" s="4">
        <v>2</v>
      </c>
      <c r="B111" t="s">
        <v>21</v>
      </c>
      <c r="C111" s="19">
        <f>C110+D109</f>
        <v>1213.6319999999998</v>
      </c>
    </row>
    <row r="112" spans="1:3" ht="12.75">
      <c r="A112" s="4">
        <v>3</v>
      </c>
      <c r="B112" t="s">
        <v>22</v>
      </c>
      <c r="C112" s="19">
        <f>C111+D109</f>
        <v>1387.0079999999998</v>
      </c>
    </row>
    <row r="113" spans="1:3" ht="12.75">
      <c r="A113" s="4">
        <v>4</v>
      </c>
      <c r="B113" t="s">
        <v>23</v>
      </c>
      <c r="C113" s="19">
        <f>C112+D109</f>
        <v>1560.3839999999998</v>
      </c>
    </row>
    <row r="114" spans="1:3" ht="12.75">
      <c r="A114" s="4">
        <v>5</v>
      </c>
      <c r="B114" t="s">
        <v>24</v>
      </c>
      <c r="C114" s="19">
        <f>C113+D109</f>
        <v>1733.7599999999998</v>
      </c>
    </row>
  </sheetData>
  <sheetProtection password="EA84" sheet="1"/>
  <hyperlinks>
    <hyperlink ref="E55" r:id="rId1" display="https://www.arbeiterkammer.at/beratung/steuerundeinkommen/steuertipps/Steuervorteile_fuer_Familien.html"/>
    <hyperlink ref="D42" r:id="rId2" display="https://www.oesterreich.gv.at/themen/familie_und_partnerschaft/alleinerziehung/5/1/Seite.490532.html"/>
  </hyperlinks>
  <printOptions/>
  <pageMargins left="0.787401575" right="0.787401575" top="0.984251969" bottom="0.984251969" header="0.4921259845" footer="0.4921259845"/>
  <pageSetup horizontalDpi="600" verticalDpi="600" orientation="portrait" paperSize="9" r:id="rId3"/>
  <headerFooter alignWithMargins="0">
    <oddHeader>&amp;CSOZW1040</oddHeader>
  </headerFooter>
</worksheet>
</file>

<file path=xl/worksheets/sheet5.xml><?xml version="1.0" encoding="utf-8"?>
<worksheet xmlns="http://schemas.openxmlformats.org/spreadsheetml/2006/main" xmlns:r="http://schemas.openxmlformats.org/officeDocument/2006/relationships">
  <sheetPr codeName="Tabelle5"/>
  <dimension ref="A1:D41"/>
  <sheetViews>
    <sheetView tabSelected="1" workbookViewId="0" topLeftCell="A1">
      <selection activeCell="B13" sqref="B13:C13"/>
    </sheetView>
  </sheetViews>
  <sheetFormatPr defaultColWidth="11.421875" defaultRowHeight="21" customHeight="1"/>
  <cols>
    <col min="1" max="1" width="69.00390625" style="42" customWidth="1"/>
    <col min="2" max="3" width="10.421875" style="42" bestFit="1" customWidth="1"/>
    <col min="4" max="4" width="13.00390625" style="42" customWidth="1"/>
    <col min="5" max="16384" width="11.421875" style="42" customWidth="1"/>
  </cols>
  <sheetData>
    <row r="1" spans="1:4" ht="21" customHeight="1">
      <c r="A1" s="72" t="s">
        <v>100</v>
      </c>
      <c r="B1" s="72"/>
      <c r="C1" s="72"/>
      <c r="D1" s="72"/>
    </row>
    <row r="2" spans="1:4" ht="16.5" customHeight="1">
      <c r="A2" s="20" t="s">
        <v>0</v>
      </c>
      <c r="B2" s="118"/>
      <c r="C2" s="118"/>
      <c r="D2" s="119"/>
    </row>
    <row r="3" spans="1:4" ht="19.5" customHeight="1">
      <c r="A3" s="79" t="s">
        <v>106</v>
      </c>
      <c r="B3" s="120"/>
      <c r="C3" s="120"/>
      <c r="D3" s="121"/>
    </row>
    <row r="4" spans="1:4" ht="16.5" customHeight="1">
      <c r="A4" s="79" t="s">
        <v>105</v>
      </c>
      <c r="B4" s="120"/>
      <c r="C4" s="120"/>
      <c r="D4" s="121"/>
    </row>
    <row r="5" spans="1:4" ht="28.5" customHeight="1">
      <c r="A5" s="74" t="s">
        <v>102</v>
      </c>
      <c r="B5" s="120"/>
      <c r="C5" s="120"/>
      <c r="D5" s="121"/>
    </row>
    <row r="6" spans="1:4" ht="16.5" customHeight="1">
      <c r="A6" s="41" t="s">
        <v>108</v>
      </c>
      <c r="B6" s="120"/>
      <c r="C6" s="120"/>
      <c r="D6" s="121"/>
    </row>
    <row r="7" spans="1:4" ht="16.5" customHeight="1">
      <c r="A7" s="41" t="s">
        <v>109</v>
      </c>
      <c r="B7" s="122"/>
      <c r="C7" s="123"/>
      <c r="D7" s="124"/>
    </row>
    <row r="8" spans="1:4" ht="30.75" customHeight="1">
      <c r="A8" s="79" t="s">
        <v>110</v>
      </c>
      <c r="B8" s="120"/>
      <c r="C8" s="120"/>
      <c r="D8" s="121"/>
    </row>
    <row r="9" spans="1:4" ht="44.25" customHeight="1">
      <c r="A9" s="73" t="s">
        <v>111</v>
      </c>
      <c r="B9" s="127"/>
      <c r="C9" s="127"/>
      <c r="D9" s="128"/>
    </row>
    <row r="10" spans="1:4" ht="17.25" customHeight="1">
      <c r="A10" s="44" t="s">
        <v>112</v>
      </c>
      <c r="B10" s="122"/>
      <c r="C10" s="123"/>
      <c r="D10" s="124"/>
    </row>
    <row r="11" spans="1:4" ht="16.5" customHeight="1" thickBot="1">
      <c r="A11" s="44" t="s">
        <v>101</v>
      </c>
      <c r="B11" s="122"/>
      <c r="C11" s="123"/>
      <c r="D11" s="124"/>
    </row>
    <row r="12" spans="1:4" ht="21" customHeight="1" thickBot="1">
      <c r="A12" s="137" t="s">
        <v>10</v>
      </c>
      <c r="B12" s="138"/>
      <c r="C12" s="138"/>
      <c r="D12" s="139"/>
    </row>
    <row r="13" spans="1:4" ht="21" customHeight="1" thickBot="1">
      <c r="A13" s="21" t="s">
        <v>1</v>
      </c>
      <c r="B13" s="125"/>
      <c r="C13" s="126"/>
      <c r="D13" s="28"/>
    </row>
    <row r="14" spans="1:4" ht="21" customHeight="1" thickBot="1">
      <c r="A14" s="22" t="s">
        <v>13</v>
      </c>
      <c r="B14" s="129">
        <f>ROUND(IF(Pflegegeld!C14&lt;0,0,Pflegegeld!C14),0)</f>
        <v>0</v>
      </c>
      <c r="C14" s="130"/>
      <c r="D14" s="29"/>
    </row>
    <row r="15" spans="1:4" ht="21" customHeight="1" thickBot="1">
      <c r="A15" s="137" t="s">
        <v>11</v>
      </c>
      <c r="B15" s="138"/>
      <c r="C15" s="138"/>
      <c r="D15" s="139"/>
    </row>
    <row r="16" spans="1:4" ht="21" customHeight="1">
      <c r="A16" s="23" t="s">
        <v>2</v>
      </c>
      <c r="B16" s="153"/>
      <c r="C16" s="154"/>
      <c r="D16" s="142"/>
    </row>
    <row r="17" spans="1:4" ht="21" customHeight="1" thickBot="1">
      <c r="A17" s="30" t="s">
        <v>3</v>
      </c>
      <c r="B17" s="149"/>
      <c r="C17" s="150"/>
      <c r="D17" s="142"/>
    </row>
    <row r="18" spans="1:4" ht="21" customHeight="1" thickBot="1">
      <c r="A18" s="22" t="s">
        <v>13</v>
      </c>
      <c r="B18" s="147" t="e">
        <f>ROUND(IF(B6="j",Einkommen!D16,IF(B7="j",Einkommen!D15,IF(B8="J",Einkommen!E16,IF(Einkommen!C16&lt;0,0,Einkommen!C16)))),0)</f>
        <v>#N/A</v>
      </c>
      <c r="C18" s="148"/>
      <c r="D18" s="143"/>
    </row>
    <row r="19" spans="1:4" ht="5.25" customHeight="1" thickBot="1">
      <c r="A19" s="144"/>
      <c r="B19" s="144"/>
      <c r="C19" s="144"/>
      <c r="D19" s="144"/>
    </row>
    <row r="20" spans="1:4" ht="21" customHeight="1" thickBot="1">
      <c r="A20" s="137" t="s">
        <v>12</v>
      </c>
      <c r="B20" s="138"/>
      <c r="C20" s="138"/>
      <c r="D20" s="139"/>
    </row>
    <row r="21" spans="1:4" ht="21" customHeight="1" thickBot="1">
      <c r="A21" s="80" t="s">
        <v>4</v>
      </c>
      <c r="B21" s="81"/>
      <c r="C21" s="82"/>
      <c r="D21" s="34"/>
    </row>
    <row r="22" spans="1:4" ht="15.75" customHeight="1" thickBot="1">
      <c r="A22" s="40"/>
      <c r="B22" s="116" t="s">
        <v>76</v>
      </c>
      <c r="C22" s="117" t="s">
        <v>77</v>
      </c>
      <c r="D22" s="28"/>
    </row>
    <row r="23" spans="1:4" ht="21" customHeight="1">
      <c r="A23" s="31" t="s">
        <v>78</v>
      </c>
      <c r="B23" s="89"/>
      <c r="C23" s="95"/>
      <c r="D23" s="28"/>
    </row>
    <row r="24" spans="1:4" ht="21" customHeight="1">
      <c r="A24" s="24" t="s">
        <v>5</v>
      </c>
      <c r="B24" s="90"/>
      <c r="C24" s="95"/>
      <c r="D24" s="28"/>
    </row>
    <row r="25" spans="1:4" ht="25.5" customHeight="1">
      <c r="A25" s="24" t="s">
        <v>107</v>
      </c>
      <c r="B25" s="91"/>
      <c r="C25" s="91"/>
      <c r="D25" s="99" t="str">
        <f>IF(ISBLANK(B25),"Bitte Feld eingeben!",IF(ISBLANK(C25),"Bitte Feld eingeben!",""))</f>
        <v>Bitte Feld eingeben!</v>
      </c>
    </row>
    <row r="26" spans="1:4" ht="26.25" customHeight="1">
      <c r="A26" s="86" t="s">
        <v>79</v>
      </c>
      <c r="B26" s="92"/>
      <c r="C26" s="93"/>
      <c r="D26" s="99"/>
    </row>
    <row r="27" spans="1:4" ht="21" customHeight="1">
      <c r="A27" s="24" t="s">
        <v>8</v>
      </c>
      <c r="B27" s="93"/>
      <c r="C27" s="96"/>
      <c r="D27" s="28"/>
    </row>
    <row r="28" spans="1:4" ht="21" customHeight="1" thickBot="1">
      <c r="A28" s="25" t="s">
        <v>9</v>
      </c>
      <c r="B28" s="94"/>
      <c r="C28" s="92"/>
      <c r="D28" s="28"/>
    </row>
    <row r="29" spans="1:4" ht="21" customHeight="1" thickBot="1">
      <c r="A29" s="33" t="s">
        <v>13</v>
      </c>
      <c r="B29" s="85">
        <f>ROUND(IF(B6="j",Unterhalt!C20,IF(B7="j",Unterhalt!D20,IF(B8="j",Unterhalt!C21,IF(Unterhalt!D18&lt;0,0,Unterhalt!D18)))),0)</f>
        <v>0</v>
      </c>
      <c r="C29" s="32">
        <f>ROUND(IF(B6="j",Unterhalt!H20,IF(B7="j",Unterhalt!G20,IF(B8="j",Unterhalt!H21,IF(Unterhalt!G18&lt;0,0,Unterhalt!G18)))),0)</f>
        <v>0</v>
      </c>
      <c r="D29" s="98"/>
    </row>
    <row r="30" spans="1:4" ht="21" customHeight="1" thickBot="1">
      <c r="A30" s="83" t="s">
        <v>95</v>
      </c>
      <c r="B30" s="84"/>
      <c r="C30" s="84"/>
      <c r="D30" s="97"/>
    </row>
    <row r="31" spans="1:4" ht="21" customHeight="1">
      <c r="A31" s="60" t="s">
        <v>14</v>
      </c>
      <c r="B31" s="135"/>
      <c r="C31" s="136"/>
      <c r="D31" s="28"/>
    </row>
    <row r="32" spans="1:4" ht="21" customHeight="1">
      <c r="A32" s="24" t="s">
        <v>15</v>
      </c>
      <c r="B32" s="151">
        <f>0</f>
        <v>0</v>
      </c>
      <c r="C32" s="152"/>
      <c r="D32" s="28"/>
    </row>
    <row r="33" spans="1:4" ht="21" customHeight="1" thickBot="1">
      <c r="A33" s="61" t="s">
        <v>7</v>
      </c>
      <c r="B33" s="145"/>
      <c r="C33" s="146"/>
      <c r="D33" s="28"/>
    </row>
    <row r="34" spans="1:4" ht="21" customHeight="1" thickBot="1">
      <c r="A34" s="22" t="s">
        <v>13</v>
      </c>
      <c r="B34" s="129">
        <f>ROUND(IF(Unterhalt!D82&lt;0,0,Unterhalt!D82),0)</f>
        <v>0</v>
      </c>
      <c r="C34" s="130"/>
      <c r="D34" s="29"/>
    </row>
    <row r="35" spans="1:4" ht="5.25" customHeight="1">
      <c r="A35" s="37"/>
      <c r="B35" s="38"/>
      <c r="C35" s="38"/>
      <c r="D35" s="39"/>
    </row>
    <row r="36" spans="1:4" ht="5.25" customHeight="1" thickBot="1">
      <c r="A36" s="36"/>
      <c r="B36" s="36"/>
      <c r="C36" s="36"/>
      <c r="D36" s="36"/>
    </row>
    <row r="37" spans="1:4" ht="21" customHeight="1" thickBot="1">
      <c r="A37" s="43" t="s">
        <v>16</v>
      </c>
      <c r="B37" s="133" t="e">
        <f>B14+B18+B29+B34+C29</f>
        <v>#N/A</v>
      </c>
      <c r="C37" s="134"/>
      <c r="D37" s="140" t="b">
        <f>IF(OR(B3="j",B4="j",B6="j",B7="j",B10="j",B11="j"),(22),IF(B8="j",(31),IF(OR(B5="j",B9="j"),(31))))</f>
        <v>0</v>
      </c>
    </row>
    <row r="38" spans="1:4" ht="21" customHeight="1" thickBot="1">
      <c r="A38" s="35" t="s">
        <v>81</v>
      </c>
      <c r="B38" s="131" t="b">
        <f>IF(OR(B3="j",B4="j",B6="j",B7="j",B10="j",B11="j"),(B37/22),IF(B8="j",(B37/31),IF(OR(B5="j",B9="j"),(B37/31))))</f>
        <v>0</v>
      </c>
      <c r="C38" s="132"/>
      <c r="D38" s="141"/>
    </row>
    <row r="39" spans="1:4" ht="21" customHeight="1">
      <c r="A39" s="62" t="s">
        <v>96</v>
      </c>
      <c r="B39" s="63"/>
      <c r="C39" s="63"/>
      <c r="D39" s="64"/>
    </row>
    <row r="40" spans="1:4" ht="27" customHeight="1">
      <c r="A40" s="76"/>
      <c r="B40" s="77"/>
      <c r="C40" s="77"/>
      <c r="D40" s="78"/>
    </row>
    <row r="41" ht="16.5" customHeight="1">
      <c r="A41" s="75"/>
    </row>
  </sheetData>
  <sheetProtection password="EA84" sheet="1" scenarios="1" selectLockedCells="1"/>
  <protectedRanges>
    <protectedRange sqref="B33:C33 B13:C13 B16:C17 B2:D11 B31:C31 B23:C28" name="Bereich1"/>
  </protectedRanges>
  <mergeCells count="27">
    <mergeCell ref="A20:D20"/>
    <mergeCell ref="B14:C14"/>
    <mergeCell ref="B33:C33"/>
    <mergeCell ref="B18:C18"/>
    <mergeCell ref="B17:C17"/>
    <mergeCell ref="B32:C32"/>
    <mergeCell ref="B16:C16"/>
    <mergeCell ref="B8:D8"/>
    <mergeCell ref="B34:C34"/>
    <mergeCell ref="B38:C38"/>
    <mergeCell ref="B37:C37"/>
    <mergeCell ref="B31:C31"/>
    <mergeCell ref="A12:D12"/>
    <mergeCell ref="D37:D38"/>
    <mergeCell ref="A15:D15"/>
    <mergeCell ref="D16:D18"/>
    <mergeCell ref="A19:D19"/>
    <mergeCell ref="B2:D2"/>
    <mergeCell ref="B3:D3"/>
    <mergeCell ref="B7:D7"/>
    <mergeCell ref="B13:C13"/>
    <mergeCell ref="B5:D5"/>
    <mergeCell ref="B4:D4"/>
    <mergeCell ref="B9:D9"/>
    <mergeCell ref="B6:D6"/>
    <mergeCell ref="B10:D10"/>
    <mergeCell ref="B11:D11"/>
  </mergeCells>
  <conditionalFormatting sqref="B25">
    <cfRule type="expression" priority="2" dxfId="0" stopIfTrue="1">
      <formula>ISBLANK(B25)</formula>
    </cfRule>
  </conditionalFormatting>
  <conditionalFormatting sqref="C25">
    <cfRule type="expression" priority="1" dxfId="0" stopIfTrue="1">
      <formula>ISBLANK(C25)</formula>
    </cfRule>
  </conditionalFormatting>
  <dataValidations count="5">
    <dataValidation type="custom" showInputMessage="1" showErrorMessage="1" promptTitle="Nur Einkommen" prompt="Wenn Einkommen und Unterhalt, dann nur Einkommen." errorTitle="FEHLER" sqref="B31">
      <formula1>IF(B16&gt;0,"leer",B31)</formula1>
    </dataValidation>
    <dataValidation showInputMessage="1" showErrorMessage="1" promptTitle="§ 4 (5) Kostenbeitrags-VO" prompt="Bei den Leistungen nach § 23 Abs. 1. lit. a,b und c sollte nur der &quot;Besserverdiener&quot; herangezogen werden." errorTitle="Fehler" sqref="B27"/>
    <dataValidation showInputMessage="1" showErrorMessage="1" promptTitle="§ 4 (5) Kostenbeitrags-VO" prompt="Bei den Leistungen nach § 23 Abs. 1. lit. a,b und c sollte nur der &quot;Besserverdiener&quot; herangezogen werden." errorTitle="Fehler" sqref="C27"/>
    <dataValidation showInputMessage="1" showErrorMessage="1" promptTitle="§ 4 (5) Kostenbeitrags-VO" prompt="Bei den Leistungen nach § 23 Abs. 1. lit. a,b und c sollte nur der &quot;Besserverdiener&quot; herangezogen werden." errorTitle="Fehler" sqref="B28"/>
    <dataValidation showInputMessage="1" showErrorMessage="1" promptTitle="§ 4 (5) Kostenbeitrags-VO" prompt="Bei den Leistungen nach § 23 Abs. 1. lit. a,b und c sollte nur der &quot;Besserverdiener&quot; herangezogen werden." errorTitle="Fehler" sqref="C28"/>
  </dataValidations>
  <printOptions/>
  <pageMargins left="0.7874015748031497" right="0.7874015748031497" top="0.984251968503937" bottom="0.984251968503937" header="0.5118110236220472" footer="0.5118110236220472"/>
  <pageSetup horizontalDpi="600" verticalDpi="600" orientation="portrait" paperSize="9" scale="83" r:id="rId4"/>
  <headerFooter alignWithMargins="0">
    <oddHeader>&amp;LKostenbeitragsberechnung für ambulante und stationäre Leistungen
Jänner 2022
</oddHeader>
    <oddFooter>&amp;R&amp;D</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Land Tirol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U0286028</dc:creator>
  <cp:keywords/>
  <dc:description/>
  <cp:lastModifiedBy>PÖRNBACHER Christoph</cp:lastModifiedBy>
  <cp:lastPrinted>2019-01-21T08:55:03Z</cp:lastPrinted>
  <dcterms:created xsi:type="dcterms:W3CDTF">2009-02-11T06:20:34Z</dcterms:created>
  <dcterms:modified xsi:type="dcterms:W3CDTF">2024-02-07T08:54:26Z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