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0341266\Desktop\"/>
    </mc:Choice>
  </mc:AlternateContent>
  <bookViews>
    <workbookView xWindow="0" yWindow="0" windowWidth="28800" windowHeight="11835"/>
  </bookViews>
  <sheets>
    <sheet name="Normkostentarife ab 01.07.2024" sheetId="1" r:id="rId1"/>
    <sheet name="Legende Tarifcodes" sheetId="2" r:id="rId2"/>
  </sheets>
  <externalReferences>
    <externalReference r:id="rId3"/>
    <externalReference r:id="rId4"/>
  </externalReferences>
  <definedNames>
    <definedName name="___mds_allowwriteback___">""</definedName>
    <definedName name="___mds_description___">""</definedName>
    <definedName name="Steigerungsfaktor_PK_Eli">'[1]301Budget-WJ2014'!$T$2</definedName>
    <definedName name="Steigerungsfaktor_PK_slw_IBK">'[1]401BUDGET-WJ2014'!$T$2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3" i="1" l="1"/>
  <c r="J123" i="1"/>
  <c r="I123" i="1"/>
  <c r="I125" i="1" s="1"/>
  <c r="F123" i="1"/>
  <c r="E123" i="1"/>
  <c r="D123" i="1"/>
  <c r="D125" i="1" s="1"/>
  <c r="C123" i="1"/>
  <c r="B123" i="1"/>
  <c r="A123" i="1"/>
  <c r="P116" i="1"/>
  <c r="O116" i="1"/>
  <c r="N116" i="1"/>
  <c r="L116" i="1"/>
  <c r="K116" i="1"/>
  <c r="J116" i="1"/>
  <c r="F116" i="1"/>
  <c r="E116" i="1"/>
  <c r="D116" i="1"/>
  <c r="C116" i="1"/>
  <c r="B116" i="1"/>
  <c r="A116" i="1"/>
  <c r="P115" i="1"/>
  <c r="O115" i="1"/>
  <c r="M115" i="1"/>
  <c r="M117" i="1" s="1"/>
  <c r="L115" i="1"/>
  <c r="L117" i="1" s="1"/>
  <c r="K115" i="1"/>
  <c r="J115" i="1"/>
  <c r="H115" i="1"/>
  <c r="G115" i="1"/>
  <c r="F115" i="1"/>
  <c r="E115" i="1"/>
  <c r="D115" i="1"/>
  <c r="C115" i="1"/>
  <c r="B115" i="1"/>
  <c r="A115" i="1"/>
  <c r="D103" i="1"/>
  <c r="D105" i="1" s="1"/>
  <c r="C103" i="1"/>
  <c r="B103" i="1"/>
  <c r="B105" i="1" s="1"/>
  <c r="A103" i="1"/>
  <c r="A106" i="1" s="1"/>
  <c r="G91" i="1"/>
  <c r="F91" i="1"/>
  <c r="F93" i="1" s="1"/>
  <c r="E91" i="1"/>
  <c r="D91" i="1"/>
  <c r="C91" i="1"/>
  <c r="C93" i="1" s="1"/>
  <c r="B91" i="1"/>
  <c r="B94" i="1" s="1"/>
  <c r="A91" i="1"/>
  <c r="A85" i="1"/>
  <c r="A84" i="1"/>
  <c r="A86" i="1" s="1"/>
  <c r="G72" i="1"/>
  <c r="F72" i="1"/>
  <c r="F74" i="1" s="1"/>
  <c r="E72" i="1"/>
  <c r="D72" i="1"/>
  <c r="C72" i="1"/>
  <c r="C74" i="1" s="1"/>
  <c r="B72" i="1"/>
  <c r="B75" i="1" s="1"/>
  <c r="A72" i="1"/>
  <c r="C66" i="1"/>
  <c r="B66" i="1"/>
  <c r="A66" i="1"/>
  <c r="C65" i="1"/>
  <c r="B65" i="1"/>
  <c r="A65" i="1"/>
  <c r="G53" i="1"/>
  <c r="F53" i="1"/>
  <c r="F55" i="1" s="1"/>
  <c r="E53" i="1"/>
  <c r="D53" i="1"/>
  <c r="C53" i="1"/>
  <c r="C55" i="1" s="1"/>
  <c r="B53" i="1"/>
  <c r="B56" i="1" s="1"/>
  <c r="A53" i="1"/>
  <c r="D46" i="1"/>
  <c r="C46" i="1"/>
  <c r="B46" i="1"/>
  <c r="A46" i="1"/>
  <c r="D45" i="1"/>
  <c r="C45" i="1"/>
  <c r="B45" i="1"/>
  <c r="B47" i="1" s="1"/>
  <c r="A45" i="1"/>
  <c r="A47" i="1" s="1"/>
  <c r="H33" i="1"/>
  <c r="G33" i="1"/>
  <c r="F33" i="1"/>
  <c r="F35" i="1" s="1"/>
  <c r="E33" i="1"/>
  <c r="D33" i="1"/>
  <c r="C33" i="1"/>
  <c r="C35" i="1" s="1"/>
  <c r="B33" i="1"/>
  <c r="B36" i="1" s="1"/>
  <c r="A33" i="1"/>
  <c r="E26" i="1"/>
  <c r="D26" i="1"/>
  <c r="C26" i="1"/>
  <c r="B26" i="1"/>
  <c r="A26" i="1"/>
  <c r="E25" i="1"/>
  <c r="D25" i="1"/>
  <c r="D28" i="1" s="1"/>
  <c r="C25" i="1"/>
  <c r="B25" i="1"/>
  <c r="A25" i="1"/>
  <c r="K13" i="1"/>
  <c r="J13" i="1"/>
  <c r="I13" i="1"/>
  <c r="I15" i="1" s="1"/>
  <c r="H13" i="1"/>
  <c r="G13" i="1"/>
  <c r="G123" i="1" s="1"/>
  <c r="F13" i="1"/>
  <c r="E13" i="1"/>
  <c r="D13" i="1"/>
  <c r="D15" i="1" s="1"/>
  <c r="C13" i="1"/>
  <c r="C16" i="1" s="1"/>
  <c r="B13" i="1"/>
  <c r="A13" i="1"/>
  <c r="P7" i="1"/>
  <c r="O7" i="1"/>
  <c r="N7" i="1"/>
  <c r="L7" i="1"/>
  <c r="K7" i="1"/>
  <c r="J7" i="1"/>
  <c r="I7" i="1"/>
  <c r="I116" i="1" s="1"/>
  <c r="F7" i="1"/>
  <c r="E7" i="1"/>
  <c r="D7" i="1"/>
  <c r="C7" i="1"/>
  <c r="B7" i="1"/>
  <c r="A7" i="1"/>
  <c r="P6" i="1"/>
  <c r="O6" i="1"/>
  <c r="M6" i="1"/>
  <c r="M8" i="1" s="1"/>
  <c r="L6" i="1"/>
  <c r="K6" i="1"/>
  <c r="J6" i="1"/>
  <c r="J9" i="1" s="1"/>
  <c r="I6" i="1"/>
  <c r="H6" i="1"/>
  <c r="G6" i="1"/>
  <c r="F6" i="1"/>
  <c r="E6" i="1"/>
  <c r="D6" i="1"/>
  <c r="C6" i="1"/>
  <c r="B6" i="1"/>
  <c r="A6" i="1"/>
  <c r="D47" i="1" l="1"/>
  <c r="C126" i="1"/>
  <c r="C47" i="1"/>
  <c r="C8" i="1"/>
  <c r="C27" i="1"/>
  <c r="D8" i="1"/>
  <c r="C117" i="1"/>
  <c r="H15" i="1"/>
  <c r="H125" i="1" s="1"/>
  <c r="H123" i="1"/>
  <c r="C67" i="1"/>
  <c r="D117" i="1"/>
  <c r="I8" i="1"/>
  <c r="I115" i="1"/>
  <c r="I117" i="1" s="1"/>
  <c r="B67" i="1"/>
  <c r="A27" i="1"/>
  <c r="E27" i="1"/>
  <c r="K117" i="1"/>
  <c r="P117" i="1"/>
  <c r="D27" i="1"/>
  <c r="E8" i="1"/>
  <c r="A67" i="1"/>
  <c r="A117" i="1"/>
  <c r="B8" i="1"/>
  <c r="F8" i="1"/>
  <c r="O8" i="1"/>
  <c r="B27" i="1"/>
  <c r="B117" i="1"/>
  <c r="F117" i="1"/>
  <c r="J117" i="1"/>
  <c r="O117" i="1"/>
  <c r="A8" i="1"/>
  <c r="L8" i="1"/>
  <c r="E117" i="1"/>
  <c r="K8" i="1"/>
  <c r="P8" i="1"/>
  <c r="J118" i="1"/>
  <c r="J8" i="1"/>
  <c r="C48" i="1"/>
</calcChain>
</file>

<file path=xl/sharedStrings.xml><?xml version="1.0" encoding="utf-8"?>
<sst xmlns="http://schemas.openxmlformats.org/spreadsheetml/2006/main" count="247" uniqueCount="126">
  <si>
    <t>TARIF bei 100%:</t>
  </si>
  <si>
    <t>Für mobile Leistungen etc. (inkl. Wegzeiten - extra ausgewiesen):</t>
  </si>
  <si>
    <t>Angest.</t>
  </si>
  <si>
    <t>freie DN</t>
  </si>
  <si>
    <t>BMB:</t>
  </si>
  <si>
    <t>PN:</t>
  </si>
  <si>
    <t>BB:</t>
  </si>
  <si>
    <t>BFE:</t>
  </si>
  <si>
    <t>BBG:</t>
  </si>
  <si>
    <t>BSG:</t>
  </si>
  <si>
    <t>BEF:</t>
  </si>
  <si>
    <t>BGF:</t>
  </si>
  <si>
    <t>BHF:</t>
  </si>
  <si>
    <t>BKFF:</t>
  </si>
  <si>
    <t>BKJF:</t>
  </si>
  <si>
    <t>BSHU:</t>
  </si>
  <si>
    <t>BKEK:</t>
  </si>
  <si>
    <t>BIA/PIA:</t>
  </si>
  <si>
    <t>BBA:</t>
  </si>
  <si>
    <t>Für Tagesstruktur und Wohnen:</t>
  </si>
  <si>
    <t>Blindenv.</t>
  </si>
  <si>
    <t>PWGJ:</t>
  </si>
  <si>
    <t>BABV:</t>
  </si>
  <si>
    <t>BATH:</t>
  </si>
  <si>
    <t>BTW:</t>
  </si>
  <si>
    <t>PABI:</t>
  </si>
  <si>
    <t>BWG:</t>
  </si>
  <si>
    <t>PWG:</t>
  </si>
  <si>
    <t>PWGG:</t>
  </si>
  <si>
    <t>BWH:</t>
  </si>
  <si>
    <t>BVW:</t>
  </si>
  <si>
    <t>PATH:</t>
  </si>
  <si>
    <t>BATI:</t>
  </si>
  <si>
    <t>BTWI:</t>
  </si>
  <si>
    <t>PWGI:</t>
  </si>
  <si>
    <t>BWHI:</t>
  </si>
  <si>
    <t>TARIF bei 95%:</t>
  </si>
  <si>
    <t>TARIF bei 90%:</t>
  </si>
  <si>
    <t>TARIF bei 85%:</t>
  </si>
  <si>
    <t>TARIF bei 80%:</t>
  </si>
  <si>
    <t>TARIF bei 75%:</t>
  </si>
  <si>
    <t>TARIF bei min%:</t>
  </si>
  <si>
    <t>BSVT</t>
  </si>
  <si>
    <t>Legende Tarifcodes</t>
  </si>
  <si>
    <t>Mobile Unterstützungsleistungen:</t>
  </si>
  <si>
    <t>Code:</t>
  </si>
  <si>
    <t>Persönliche Assistenz</t>
  </si>
  <si>
    <t>BB</t>
  </si>
  <si>
    <t>Familienunterstützung für Kinder und Jugendliche</t>
  </si>
  <si>
    <t>BFE</t>
  </si>
  <si>
    <t>Mobile Begleitung</t>
  </si>
  <si>
    <t>BMB</t>
  </si>
  <si>
    <t>Sozialpsychiatrische Einzelbegleitung/Case-Management</t>
  </si>
  <si>
    <t>PN</t>
  </si>
  <si>
    <t>Leistungen der Kommunikation und Orientierung:</t>
  </si>
  <si>
    <t>Unterstützte Kommunikation</t>
  </si>
  <si>
    <t>BSG</t>
  </si>
  <si>
    <t>Begleitung von Menschen mit Sehbehinderungen oder Blindheit</t>
  </si>
  <si>
    <t>BBG</t>
  </si>
  <si>
    <t>Pädagogische Förderung:</t>
  </si>
  <si>
    <t>Einzelförderung für Menschen mit</t>
  </si>
  <si>
    <t>Autismus-Spektrum-Störungen</t>
  </si>
  <si>
    <t>BEF</t>
  </si>
  <si>
    <t>Gruppenförderung für Menschen mit</t>
  </si>
  <si>
    <t>BGF</t>
  </si>
  <si>
    <t>Förderung im häuslichen Umfeld</t>
  </si>
  <si>
    <t>BHF</t>
  </si>
  <si>
    <t>Mobile Frühförderung</t>
  </si>
  <si>
    <t>BKFF</t>
  </si>
  <si>
    <t>Mobile Förderung für Kinder und Jugendliche</t>
  </si>
  <si>
    <t>ab dem 6. Lebensjahr</t>
  </si>
  <si>
    <t>BKJF</t>
  </si>
  <si>
    <t>Hausunterricht für schulpflichtige Kinder und Jugendliche</t>
  </si>
  <si>
    <t>BSHU</t>
  </si>
  <si>
    <t>Eltern-Kind-Gruppe</t>
  </si>
  <si>
    <t>BKEK/BKEL</t>
  </si>
  <si>
    <t>Tagesstruktur-Wohnen für Kinder und Jugendliche:</t>
  </si>
  <si>
    <t>Tagesbetreuung für Kinder und Jugendliche</t>
  </si>
  <si>
    <t>BSE/I &amp; BLE/I</t>
  </si>
  <si>
    <t>Internat</t>
  </si>
  <si>
    <t>BSI/I &amp; BLI/I</t>
  </si>
  <si>
    <t>Vollzeitbegleitetes Wohnen für Kinder und Jugendliche</t>
  </si>
  <si>
    <t>inklusive Tagesstruktur-Sozialpsychiatrie</t>
  </si>
  <si>
    <t>PWGJ</t>
  </si>
  <si>
    <t>Arbeit-Tagesstruktur:</t>
  </si>
  <si>
    <t>Berufsvorbereitung</t>
  </si>
  <si>
    <t>BABV</t>
  </si>
  <si>
    <t>Tagesstruktur</t>
  </si>
  <si>
    <t>BATH/BATI</t>
  </si>
  <si>
    <t>Tagesstruktur-Sozialpsychiatrie</t>
  </si>
  <si>
    <t>PABI</t>
  </si>
  <si>
    <t>PATH</t>
  </si>
  <si>
    <t>Tagesstruktur in Wohnhäusern</t>
  </si>
  <si>
    <t>BTW/I</t>
  </si>
  <si>
    <t>Inklusive Arbeit</t>
  </si>
  <si>
    <t>BIA/PIA</t>
  </si>
  <si>
    <t>Persönliche Assistenz am Arbeitsplatz</t>
  </si>
  <si>
    <t>BBA</t>
  </si>
  <si>
    <t>Wohnen:</t>
  </si>
  <si>
    <t>Wohnen exklusive Berufsvorbereitung</t>
  </si>
  <si>
    <t>BVW</t>
  </si>
  <si>
    <t>Begleitetes Wohnen in einer Wohngemeinschaft</t>
  </si>
  <si>
    <t>BWG</t>
  </si>
  <si>
    <t>Wohnen exklusive Tagesstruktur</t>
  </si>
  <si>
    <t>BWH/I</t>
  </si>
  <si>
    <t>Begleitetes Wohnen exklusive Tagesstruktur-Sozialpsychiatrie</t>
  </si>
  <si>
    <t>PWG</t>
  </si>
  <si>
    <t>Begleitetes Wohnen inklusive Tagesstruktur-Sozialpsychiatrie</t>
  </si>
  <si>
    <t>PWGG/PWGI</t>
  </si>
  <si>
    <r>
      <t>Anmerkung:</t>
    </r>
    <r>
      <rPr>
        <sz val="12"/>
        <color rgb="FF000000"/>
        <rFont val="Arial"/>
        <family val="2"/>
      </rPr>
      <t xml:space="preserve"> </t>
    </r>
  </si>
  <si>
    <t>Der Zusatz „/I“ steht für den Intensivsatz, wenn dieser nicht separat in der Klammer erwähnt wurde.</t>
  </si>
  <si>
    <t>€ 152,70*</t>
  </si>
  <si>
    <t>* Fahrtkostenpauschale € 25,40</t>
  </si>
  <si>
    <t>€ 190,90*</t>
  </si>
  <si>
    <t>€ 151,7*</t>
  </si>
  <si>
    <t>€ 189,6*</t>
  </si>
  <si>
    <t>€ 150,6*</t>
  </si>
  <si>
    <t>€ 188,2*</t>
  </si>
  <si>
    <t>€ 149,7*</t>
  </si>
  <si>
    <t>€ 187,0*</t>
  </si>
  <si>
    <t>€ 148,7*</t>
  </si>
  <si>
    <t>€ 185,7*</t>
  </si>
  <si>
    <t>€ 147,5*</t>
  </si>
  <si>
    <t>€ 184,1*</t>
  </si>
  <si>
    <t>€ 146,4*</t>
  </si>
  <si>
    <t>€ 182,7*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</si>
</sst>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"/>
    <numFmt numFmtId="165" formatCode="&quot;€&quot;\ #,##0.00"/>
    <numFmt numFmtId="166" formatCode="0.0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20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C8CAF2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9FFCC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1"/>
    <xf numFmtId="0" fontId="1" fillId="0" borderId="0" xfId="1" applyFill="1" applyBorder="1"/>
    <xf numFmtId="0" fontId="3" fillId="0" borderId="0" xfId="1" applyFont="1" applyFill="1"/>
    <xf numFmtId="0" fontId="2" fillId="0" borderId="0" xfId="1" applyFont="1" applyFill="1"/>
    <xf numFmtId="10" fontId="5" fillId="3" borderId="1" xfId="2" applyNumberFormat="1" applyFont="1" applyFill="1" applyBorder="1"/>
    <xf numFmtId="10" fontId="5" fillId="3" borderId="2" xfId="2" applyNumberFormat="1" applyFont="1" applyFill="1" applyBorder="1"/>
    <xf numFmtId="10" fontId="5" fillId="3" borderId="3" xfId="2" applyNumberFormat="1" applyFont="1" applyFill="1" applyBorder="1"/>
    <xf numFmtId="164" fontId="6" fillId="0" borderId="4" xfId="1" applyNumberFormat="1" applyFont="1" applyFill="1" applyBorder="1"/>
    <xf numFmtId="164" fontId="6" fillId="0" borderId="4" xfId="1" applyNumberFormat="1" applyFont="1" applyBorder="1"/>
    <xf numFmtId="164" fontId="6" fillId="0" borderId="1" xfId="1" applyNumberFormat="1" applyFont="1" applyBorder="1"/>
    <xf numFmtId="10" fontId="5" fillId="3" borderId="5" xfId="2" applyNumberFormat="1" applyFont="1" applyFill="1" applyBorder="1"/>
    <xf numFmtId="0" fontId="6" fillId="0" borderId="0" xfId="1" applyFont="1"/>
    <xf numFmtId="164" fontId="6" fillId="0" borderId="6" xfId="1" applyNumberFormat="1" applyFont="1" applyFill="1" applyBorder="1"/>
    <xf numFmtId="0" fontId="6" fillId="0" borderId="0" xfId="1" applyFont="1" applyFill="1"/>
    <xf numFmtId="164" fontId="7" fillId="0" borderId="1" xfId="1" applyNumberFormat="1" applyFont="1" applyBorder="1"/>
    <xf numFmtId="0" fontId="1" fillId="0" borderId="0" xfId="1" applyBorder="1"/>
    <xf numFmtId="164" fontId="7" fillId="0" borderId="0" xfId="1" applyNumberFormat="1" applyFont="1" applyFill="1" applyBorder="1"/>
    <xf numFmtId="164" fontId="7" fillId="0" borderId="7" xfId="1" applyNumberFormat="1" applyFont="1" applyFill="1" applyBorder="1"/>
    <xf numFmtId="164" fontId="1" fillId="0" borderId="0" xfId="1" applyNumberFormat="1" applyBorder="1"/>
    <xf numFmtId="164" fontId="7" fillId="0" borderId="6" xfId="1" applyNumberFormat="1" applyFont="1" applyBorder="1"/>
    <xf numFmtId="164" fontId="1" fillId="0" borderId="0" xfId="1" applyNumberFormat="1"/>
    <xf numFmtId="10" fontId="8" fillId="0" borderId="0" xfId="2" applyNumberFormat="1" applyFont="1" applyFill="1" applyBorder="1"/>
    <xf numFmtId="10" fontId="5" fillId="0" borderId="0" xfId="2" applyNumberFormat="1" applyFont="1" applyFill="1" applyBorder="1"/>
    <xf numFmtId="164" fontId="7" fillId="0" borderId="1" xfId="1" applyNumberFormat="1" applyFont="1" applyFill="1" applyBorder="1"/>
    <xf numFmtId="165" fontId="1" fillId="0" borderId="0" xfId="1" applyNumberFormat="1" applyFill="1" applyBorder="1"/>
    <xf numFmtId="164" fontId="1" fillId="0" borderId="0" xfId="1" applyNumberFormat="1" applyFill="1" applyBorder="1"/>
    <xf numFmtId="10" fontId="5" fillId="3" borderId="8" xfId="2" applyNumberFormat="1" applyFont="1" applyFill="1" applyBorder="1"/>
    <xf numFmtId="164" fontId="6" fillId="0" borderId="0" xfId="1" applyNumberFormat="1" applyFont="1" applyFill="1" applyBorder="1"/>
    <xf numFmtId="0" fontId="1" fillId="0" borderId="0" xfId="1" applyFill="1"/>
    <xf numFmtId="164" fontId="7" fillId="0" borderId="0" xfId="1" applyNumberFormat="1" applyFont="1" applyBorder="1"/>
    <xf numFmtId="9" fontId="1" fillId="0" borderId="0" xfId="1" applyNumberFormat="1" applyBorder="1"/>
    <xf numFmtId="9" fontId="6" fillId="0" borderId="0" xfId="1" applyNumberFormat="1" applyFont="1" applyBorder="1"/>
    <xf numFmtId="165" fontId="6" fillId="0" borderId="9" xfId="1" applyNumberFormat="1" applyFont="1" applyBorder="1" applyAlignment="1"/>
    <xf numFmtId="9" fontId="6" fillId="0" borderId="0" xfId="2" applyFont="1" applyBorder="1"/>
    <xf numFmtId="9" fontId="4" fillId="0" borderId="0" xfId="3" applyFont="1" applyBorder="1"/>
    <xf numFmtId="165" fontId="6" fillId="0" borderId="0" xfId="1" applyNumberFormat="1" applyFont="1" applyBorder="1" applyAlignment="1"/>
    <xf numFmtId="9" fontId="6" fillId="0" borderId="0" xfId="3" applyFont="1" applyBorder="1"/>
    <xf numFmtId="166" fontId="1" fillId="0" borderId="0" xfId="1" applyNumberFormat="1" applyBorder="1"/>
    <xf numFmtId="9" fontId="1" fillId="0" borderId="0" xfId="1" applyNumberFormat="1"/>
    <xf numFmtId="164" fontId="6" fillId="0" borderId="0" xfId="2" applyNumberFormat="1" applyFont="1" applyBorder="1"/>
    <xf numFmtId="164" fontId="4" fillId="0" borderId="0" xfId="3" applyNumberFormat="1" applyFont="1" applyBorder="1"/>
    <xf numFmtId="10" fontId="5" fillId="3" borderId="0" xfId="2" applyNumberFormat="1" applyFont="1" applyFill="1" applyBorder="1"/>
    <xf numFmtId="164" fontId="7" fillId="0" borderId="6" xfId="1" applyNumberFormat="1" applyFont="1" applyBorder="1" applyAlignment="1">
      <alignment horizontal="right"/>
    </xf>
    <xf numFmtId="166" fontId="1" fillId="0" borderId="0" xfId="1" applyNumberFormat="1"/>
    <xf numFmtId="0" fontId="10" fillId="0" borderId="0" xfId="0" applyFont="1"/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2" fillId="0" borderId="7" xfId="0" applyFont="1" applyBorder="1"/>
    <xf numFmtId="0" fontId="12" fillId="0" borderId="5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3" xfId="0" applyFont="1" applyBorder="1"/>
    <xf numFmtId="0" fontId="11" fillId="5" borderId="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3" fillId="0" borderId="0" xfId="0" applyFont="1"/>
    <xf numFmtId="0" fontId="11" fillId="6" borderId="1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3" fillId="0" borderId="7" xfId="0" applyFont="1" applyBorder="1"/>
    <xf numFmtId="0" fontId="11" fillId="7" borderId="1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3" fillId="0" borderId="5" xfId="0" applyFont="1" applyBorder="1"/>
    <xf numFmtId="0" fontId="13" fillId="0" borderId="4" xfId="0" applyFont="1" applyBorder="1"/>
    <xf numFmtId="0" fontId="11" fillId="8" borderId="1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164" fontId="6" fillId="0" borderId="0" xfId="1" applyNumberFormat="1" applyFont="1" applyBorder="1"/>
    <xf numFmtId="0" fontId="6" fillId="0" borderId="0" xfId="1" quotePrefix="1" applyFont="1"/>
    <xf numFmtId="0" fontId="7" fillId="0" borderId="0" xfId="1" applyFont="1"/>
    <xf numFmtId="165" fontId="7" fillId="0" borderId="0" xfId="1" applyNumberFormat="1" applyFont="1" applyFill="1" applyBorder="1"/>
    <xf numFmtId="164" fontId="7" fillId="0" borderId="1" xfId="1" quotePrefix="1" applyNumberFormat="1" applyFont="1" applyBorder="1" applyAlignment="1">
      <alignment horizontal="right"/>
    </xf>
    <xf numFmtId="164" fontId="7" fillId="0" borderId="1" xfId="1" quotePrefix="1" applyNumberFormat="1" applyFont="1" applyFill="1" applyBorder="1"/>
    <xf numFmtId="164" fontId="7" fillId="0" borderId="1" xfId="1" quotePrefix="1" applyNumberFormat="1" applyFont="1" applyFill="1" applyBorder="1" applyAlignment="1">
      <alignment horizontal="right"/>
    </xf>
    <xf numFmtId="9" fontId="1" fillId="0" borderId="0" xfId="1" applyNumberFormat="1" applyAlignment="1">
      <alignment horizontal="center" vertical="center"/>
    </xf>
    <xf numFmtId="0" fontId="6" fillId="0" borderId="0" xfId="1" applyFont="1" applyAlignment="1">
      <alignment horizontal="center" vertical="center"/>
    </xf>
    <xf numFmtId="9" fontId="1" fillId="0" borderId="0" xfId="1" applyNumberForma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11" xfId="0" applyFont="1" applyBorder="1"/>
    <xf numFmtId="0" fontId="11" fillId="0" borderId="6" xfId="0" applyFont="1" applyBorder="1"/>
  </cellXfs>
  <cellStyles count="4">
    <cellStyle name="Prozent 2 2 3" xfId="2"/>
    <cellStyle name="Prozent 2 3" xfId="3"/>
    <cellStyle name="Standard" xfId="0" builtinId="0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tirol.gv.at/2_Finanzen/Betreute/VA/Tagessatz/2014/30+40/Kalkulation/SLW_Kalkulationsunterlagen_2014_Vers_en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tirol.gv.at/ELAKWeb/repository/kisflow/tirolgvat/2024/1/2/4/9/27/f7a28c510a0a80b0730676ff754dfb26_sid_LnRVbir45QfLOKKRRCuiT9D_cid_3966_eid_U0363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Angestellte per 31.12.2013"/>
      <sheetName val="freie DN, Hon.kr per 31.12.2013"/>
      <sheetName val="sonst. per 31.12.2013"/>
      <sheetName val="Tarif 2014 Übersicht"/>
      <sheetName val="Budget 2014 BKEK"/>
      <sheetName val="Budget 2014 BKK"/>
      <sheetName val="Budget 2014 BKKI"/>
      <sheetName val="Budget 2014 BSE"/>
      <sheetName val="Budget 2014 BSEI"/>
      <sheetName val="Budget 2014 BSI"/>
      <sheetName val="Budget 2014 BSII"/>
      <sheetName val="ELI Zusammenfassung2014"/>
      <sheetName val="301KORE-WJ2013"/>
      <sheetName val="301Budget-WJ2014"/>
      <sheetName val="Budget 2014 BATH"/>
      <sheetName val="Budget 2014 BATI"/>
      <sheetName val="Budget 2014 BTW"/>
      <sheetName val="Budget 2014 BTWI"/>
      <sheetName val="Budget 2014 BWH"/>
      <sheetName val="Budget 2014 BWHI"/>
      <sheetName val="Budget 2014 BWG"/>
      <sheetName val="slwIBK_Zusammenfassung2014"/>
      <sheetName val="401KORE-WJ2013"/>
      <sheetName val="401BUDGET-WJ2014"/>
      <sheetName val="GESBudget 2014"/>
      <sheetName val="AbrechnungWJ2013"/>
      <sheetName val="AbrechnungKJ2013"/>
      <sheetName val="To-Do"/>
      <sheetName val="Verprobung"/>
      <sheetName val="WJ2012-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T2">
            <v>1.036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T2">
            <v>1.03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 2022"/>
      <sheetName val="Normkostentarife 2024"/>
      <sheetName val="Indexierung 2023 + Budget"/>
      <sheetName val="Ambulante Suchtprävention"/>
      <sheetName val="arbas"/>
      <sheetName val="Arche Tirol"/>
      <sheetName val="ARGE Sellrain"/>
      <sheetName val="ARGE Außerfern"/>
      <sheetName val="Aufbauwerk"/>
      <sheetName val="Aurea - Reha Autismus"/>
      <sheetName val="Beratungsstelle für Gehörlose"/>
      <sheetName val="BHS Mils"/>
      <sheetName val="BSVT"/>
      <sheetName val="Caritas"/>
      <sheetName val="Chwatal"/>
      <sheetName val="Diakonie de la Tour"/>
      <sheetName val="Diakoniewerk"/>
      <sheetName val="forKIDS"/>
      <sheetName val="Geschützte Werkstätte"/>
      <sheetName val="Heilp. Familien"/>
      <sheetName val="IBBA"/>
      <sheetName val="ifs"/>
      <sheetName val="Impulse"/>
      <sheetName val="INNOVIA"/>
      <sheetName val="IWO"/>
      <sheetName val="LASO Mariatal"/>
      <sheetName val="Lebenshilfe"/>
      <sheetName val="Netzwerk St. Josef"/>
      <sheetName val="MOHI"/>
      <sheetName val="pro mente"/>
      <sheetName val="PSP"/>
      <sheetName val="Schritt für Schritt"/>
      <sheetName val="SLI"/>
      <sheetName val="slw"/>
      <sheetName val="St. Raphael"/>
      <sheetName val="start pro mente"/>
      <sheetName val="Suchthilfe Tirol"/>
      <sheetName val="TAfIE"/>
      <sheetName val="Therapienetz - Haus am Seespitz"/>
      <sheetName val="Verein Emmaus"/>
      <sheetName val="Verein für Obdachlose"/>
      <sheetName val="Verein lebenswelttirol"/>
      <sheetName val="Verein UK"/>
      <sheetName val="Verein Vianova"/>
      <sheetName val="Heim Via Claudia"/>
      <sheetName val="W.I.R."/>
      <sheetName val="Kalkulation 2022 ZSB"/>
      <sheetName val="Übersicht"/>
    </sheetNames>
    <sheetDataSet>
      <sheetData sheetId="0"/>
      <sheetData sheetId="1"/>
      <sheetData sheetId="2">
        <row r="11">
          <cell r="B11">
            <v>1.0920000000000001</v>
          </cell>
        </row>
        <row r="15">
          <cell r="B15">
            <v>1.091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showGridLines="0" tabSelected="1" zoomScaleNormal="100" workbookViewId="0">
      <selection activeCell="G32" sqref="G32:G33"/>
    </sheetView>
  </sheetViews>
  <sheetFormatPr baseColWidth="10" defaultRowHeight="15" x14ac:dyDescent="0.25"/>
  <cols>
    <col min="1" max="16" width="10.7109375" style="1" customWidth="1"/>
    <col min="17" max="16384" width="11.42578125" style="1"/>
  </cols>
  <sheetData>
    <row r="1" spans="1:16" ht="21" x14ac:dyDescent="0.3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1" x14ac:dyDescent="0.35">
      <c r="A2" s="3"/>
      <c r="B2" s="3"/>
      <c r="C2" s="3"/>
      <c r="D2" s="3"/>
      <c r="E2" s="3"/>
      <c r="O2" s="2"/>
    </row>
    <row r="3" spans="1:16" ht="21" x14ac:dyDescent="0.35">
      <c r="A3" s="4" t="s">
        <v>1</v>
      </c>
      <c r="B3" s="3"/>
      <c r="C3" s="3"/>
      <c r="D3" s="3"/>
      <c r="E3" s="3"/>
      <c r="O3" s="2"/>
    </row>
    <row r="4" spans="1:16" ht="15.75" thickBot="1" x14ac:dyDescent="0.3">
      <c r="L4" s="1" t="s">
        <v>2</v>
      </c>
      <c r="M4" s="1" t="s">
        <v>3</v>
      </c>
    </row>
    <row r="5" spans="1:16" ht="15.75" thickBot="1" x14ac:dyDescent="0.3">
      <c r="A5" s="5" t="s">
        <v>4</v>
      </c>
      <c r="B5" s="6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  <c r="K5" s="5" t="s">
        <v>14</v>
      </c>
      <c r="L5" s="5" t="s">
        <v>15</v>
      </c>
      <c r="M5" s="5" t="s">
        <v>15</v>
      </c>
      <c r="N5" s="5" t="s">
        <v>16</v>
      </c>
      <c r="O5" s="5" t="s">
        <v>17</v>
      </c>
      <c r="P5" s="5" t="s">
        <v>18</v>
      </c>
    </row>
    <row r="6" spans="1:16" s="12" customFormat="1" ht="15.75" thickBot="1" x14ac:dyDescent="0.3">
      <c r="A6" s="8">
        <f>ROUND(66.6*'[2]Indexierung 2023 + Budget'!$B$15,1)</f>
        <v>72.7</v>
      </c>
      <c r="B6" s="9">
        <f>ROUND(75.6*'[2]Indexierung 2023 + Budget'!$B$15,1)</f>
        <v>82.5</v>
      </c>
      <c r="C6" s="9">
        <f>ROUND(40.2*'[2]Indexierung 2023 + Budget'!$B$15,1)</f>
        <v>43.9</v>
      </c>
      <c r="D6" s="8">
        <f>ROUND(55.5*'[2]Indexierung 2023 + Budget'!$B$15,1)</f>
        <v>60.6</v>
      </c>
      <c r="E6" s="9">
        <f>ROUND(124*'[2]Indexierung 2023 + Budget'!$B$15,1)</f>
        <v>135.30000000000001</v>
      </c>
      <c r="F6" s="9">
        <f>ROUND(82.5*'[2]Indexierung 2023 + Budget'!$B$15,1)</f>
        <v>90</v>
      </c>
      <c r="G6" s="10">
        <f>ROUND(108.7*'[2]Indexierung 2023 + Budget'!$B$15,1)</f>
        <v>118.6</v>
      </c>
      <c r="H6" s="10">
        <f>ROUND(72.4*'[2]Indexierung 2023 + Budget'!$B$15,1)</f>
        <v>79</v>
      </c>
      <c r="I6" s="9">
        <f>ROUND(90.1*'[2]Indexierung 2023 + Budget'!$B$15,1)</f>
        <v>98.3</v>
      </c>
      <c r="J6" s="9">
        <f>ROUND(90.1*'[2]Indexierung 2023 + Budget'!$B$15,1)</f>
        <v>98.3</v>
      </c>
      <c r="K6" s="9">
        <f>ROUND(90.1*'[2]Indexierung 2023 + Budget'!$B$15,1)</f>
        <v>98.3</v>
      </c>
      <c r="L6" s="9">
        <f>ROUND(70.4*'[2]Indexierung 2023 + Budget'!$B$15,1)</f>
        <v>76.8</v>
      </c>
      <c r="M6" s="9">
        <f>ROUND(43.3*'[2]Indexierung 2023 + Budget'!$B$15,1)</f>
        <v>47.2</v>
      </c>
      <c r="N6" s="11"/>
      <c r="O6" s="8">
        <f>ROUND(81.4*'[2]Indexierung 2023 + Budget'!$B$15,1)</f>
        <v>88.8</v>
      </c>
      <c r="P6" s="8">
        <f>ROUND(55.5*'[2]Indexierung 2023 + Budget'!$B$15,1)</f>
        <v>60.6</v>
      </c>
    </row>
    <row r="7" spans="1:16" s="12" customFormat="1" ht="16.5" thickBot="1" x14ac:dyDescent="0.3">
      <c r="A7" s="13">
        <f>ROUND(8.1*'[2]Indexierung 2023 + Budget'!$B$11,1)</f>
        <v>8.8000000000000007</v>
      </c>
      <c r="B7" s="13">
        <f>ROUND(8.9*'[2]Indexierung 2023 + Budget'!$B$11,1)</f>
        <v>9.6999999999999993</v>
      </c>
      <c r="C7" s="13">
        <f>ROUND(6*'[2]Indexierung 2023 + Budget'!$B$11,1)</f>
        <v>6.6</v>
      </c>
      <c r="D7" s="13">
        <f>ROUND(6.7*'[2]Indexierung 2023 + Budget'!$B$11,1)</f>
        <v>7.3</v>
      </c>
      <c r="E7" s="13">
        <f>ROUND(25.9*'[2]Indexierung 2023 + Budget'!$B$11,1)</f>
        <v>28.3</v>
      </c>
      <c r="F7" s="13">
        <f>ROUND(11.8*'[2]Indexierung 2023 + Budget'!$B$11,1)</f>
        <v>12.9</v>
      </c>
      <c r="G7" s="14"/>
      <c r="H7" s="14"/>
      <c r="I7" s="13">
        <f>ROUND(13.6*'[2]Indexierung 2023 + Budget'!$B$11,1)</f>
        <v>14.9</v>
      </c>
      <c r="J7" s="13">
        <f>ROUND(13.6*'[2]Indexierung 2023 + Budget'!$B$11,1)</f>
        <v>14.9</v>
      </c>
      <c r="K7" s="13">
        <f>ROUND(13.6*'[2]Indexierung 2023 + Budget'!$B$11,1)</f>
        <v>14.9</v>
      </c>
      <c r="L7" s="13">
        <f>ROUND(9.1*'[2]Indexierung 2023 + Budget'!$B$11,1)</f>
        <v>9.9</v>
      </c>
      <c r="M7" s="8"/>
      <c r="N7" s="15">
        <f>ROUND(60.1*'[2]Indexierung 2023 + Budget'!$B$15,1)</f>
        <v>65.599999999999994</v>
      </c>
      <c r="O7" s="13">
        <f>ROUND(8.9*'[2]Indexierung 2023 + Budget'!$B$11,1)</f>
        <v>9.6999999999999993</v>
      </c>
      <c r="P7" s="13">
        <f>ROUND(6.7*'[2]Indexierung 2023 + Budget'!$B$11,1)</f>
        <v>7.3</v>
      </c>
    </row>
    <row r="8" spans="1:16" ht="16.5" thickBot="1" x14ac:dyDescent="0.3">
      <c r="A8" s="15">
        <f t="shared" ref="A8:F8" si="0">SUM(A6:A7)</f>
        <v>81.5</v>
      </c>
      <c r="B8" s="15">
        <f t="shared" si="0"/>
        <v>92.2</v>
      </c>
      <c r="C8" s="15">
        <f t="shared" si="0"/>
        <v>50.5</v>
      </c>
      <c r="D8" s="15">
        <f t="shared" si="0"/>
        <v>67.900000000000006</v>
      </c>
      <c r="E8" s="15">
        <f t="shared" si="0"/>
        <v>163.60000000000002</v>
      </c>
      <c r="F8" s="15">
        <f t="shared" si="0"/>
        <v>102.9</v>
      </c>
      <c r="I8" s="15">
        <f>SUM(I6:I7)</f>
        <v>113.2</v>
      </c>
      <c r="J8" s="15">
        <f>SUM(J6:J7)</f>
        <v>113.2</v>
      </c>
      <c r="K8" s="15">
        <f>SUM(K6:K7)</f>
        <v>113.2</v>
      </c>
      <c r="L8" s="15">
        <f>SUM(L6:L7)</f>
        <v>86.7</v>
      </c>
      <c r="M8" s="15">
        <f>SUM(M6:M7)</f>
        <v>47.2</v>
      </c>
      <c r="O8" s="15">
        <f>SUM(O6:O7)</f>
        <v>98.5</v>
      </c>
      <c r="P8" s="15">
        <f>SUM(P6:P7)</f>
        <v>67.900000000000006</v>
      </c>
    </row>
    <row r="9" spans="1:16" ht="15.75" x14ac:dyDescent="0.25">
      <c r="B9" s="16"/>
      <c r="C9" s="16"/>
      <c r="D9" s="16"/>
      <c r="E9" s="16"/>
      <c r="F9" s="16"/>
      <c r="G9" s="17"/>
      <c r="I9" s="16"/>
      <c r="J9" s="18">
        <f>ROUND(J6+29.5*'[2]Indexierung 2023 + Budget'!$B$11,1)</f>
        <v>130.5</v>
      </c>
      <c r="K9" s="16"/>
      <c r="L9" s="16"/>
      <c r="M9" s="19"/>
      <c r="N9" s="16"/>
    </row>
    <row r="10" spans="1:16" ht="19.5" thickBot="1" x14ac:dyDescent="0.35">
      <c r="A10" s="4" t="s">
        <v>19</v>
      </c>
      <c r="J10" s="43" t="s">
        <v>42</v>
      </c>
      <c r="L10" s="21"/>
    </row>
    <row r="11" spans="1:16" ht="15.75" thickBot="1" x14ac:dyDescent="0.3"/>
    <row r="12" spans="1:16" ht="15.75" thickBot="1" x14ac:dyDescent="0.3">
      <c r="A12" s="5" t="s">
        <v>21</v>
      </c>
      <c r="B12" s="5" t="s">
        <v>22</v>
      </c>
      <c r="C12" s="5" t="s">
        <v>23</v>
      </c>
      <c r="D12" s="5" t="s">
        <v>24</v>
      </c>
      <c r="E12" s="5" t="s">
        <v>25</v>
      </c>
      <c r="F12" s="5" t="s">
        <v>26</v>
      </c>
      <c r="G12" s="5" t="s">
        <v>27</v>
      </c>
      <c r="H12" s="5" t="s">
        <v>28</v>
      </c>
      <c r="I12" s="5" t="s">
        <v>29</v>
      </c>
      <c r="J12" s="5" t="s">
        <v>30</v>
      </c>
      <c r="K12" s="5" t="s">
        <v>31</v>
      </c>
    </row>
    <row r="13" spans="1:16" ht="16.5" thickBot="1" x14ac:dyDescent="0.3">
      <c r="A13" s="15">
        <f>ROUND(310.9*'[2]Indexierung 2023 + Budget'!$B$15,1)</f>
        <v>339.2</v>
      </c>
      <c r="B13" s="15">
        <f>ROUND(143.2*'[2]Indexierung 2023 + Budget'!$B$15,1)</f>
        <v>156.19999999999999</v>
      </c>
      <c r="C13" s="15">
        <f>ROUND(116.7*'[2]Indexierung 2023 + Budget'!$B$15,1)</f>
        <v>127.3</v>
      </c>
      <c r="D13" s="15">
        <f>ROUND(110.5*'[2]Indexierung 2023 + Budget'!$B$15,1)</f>
        <v>120.6</v>
      </c>
      <c r="E13" s="15">
        <f>ROUND(56*'[2]Indexierung 2023 + Budget'!$B$15,1)</f>
        <v>61.1</v>
      </c>
      <c r="F13" s="15">
        <f>ROUND(134.3*'[2]Indexierung 2023 + Budget'!$B$15,1)</f>
        <v>146.5</v>
      </c>
      <c r="G13" s="15">
        <f>ROUND(79.7*'[2]Indexierung 2023 + Budget'!$B$15,1)</f>
        <v>87</v>
      </c>
      <c r="H13" s="15">
        <f>ROUND(159.3*'[2]Indexierung 2023 + Budget'!$B$15,1)</f>
        <v>173.8</v>
      </c>
      <c r="I13" s="15">
        <f>ROUND(224.3*'[2]Indexierung 2023 + Budget'!$B$15,1)</f>
        <v>244.7</v>
      </c>
      <c r="J13" s="15">
        <f>ROUND(147.5*'[2]Indexierung 2023 + Budget'!$B$15,1)</f>
        <v>160.9</v>
      </c>
      <c r="K13" s="15">
        <f>ROUND(333.6*'[2]Indexierung 2023 + Budget'!$B$15,1)</f>
        <v>364</v>
      </c>
      <c r="L13" s="75"/>
    </row>
    <row r="14" spans="1:16" ht="16.5" thickBot="1" x14ac:dyDescent="0.3">
      <c r="A14" s="73"/>
      <c r="B14" s="73"/>
      <c r="C14" s="77" t="s">
        <v>111</v>
      </c>
      <c r="D14" s="5" t="s">
        <v>33</v>
      </c>
      <c r="E14" s="73"/>
      <c r="F14" s="73"/>
      <c r="G14" s="73"/>
      <c r="H14" s="5" t="s">
        <v>34</v>
      </c>
      <c r="I14" s="5" t="s">
        <v>35</v>
      </c>
      <c r="J14" s="73"/>
      <c r="K14" s="73"/>
    </row>
    <row r="15" spans="1:16" ht="16.5" thickBot="1" x14ac:dyDescent="0.3">
      <c r="C15" s="5" t="s">
        <v>32</v>
      </c>
      <c r="D15" s="24">
        <f>ROUND(D13*1.3,1)</f>
        <v>156.80000000000001</v>
      </c>
      <c r="E15" s="22"/>
      <c r="F15" s="23"/>
      <c r="G15" s="22"/>
      <c r="H15" s="15">
        <f>ROUND(H13*1.3,1)</f>
        <v>225.9</v>
      </c>
      <c r="I15" s="24">
        <f>ROUND(I13*1.3,1)</f>
        <v>318.10000000000002</v>
      </c>
    </row>
    <row r="16" spans="1:16" ht="16.5" thickBot="1" x14ac:dyDescent="0.3">
      <c r="C16" s="24">
        <f>ROUND(C13*1.3,1)</f>
        <v>165.5</v>
      </c>
      <c r="G16" s="76"/>
      <c r="H16" s="76"/>
      <c r="I16" s="76"/>
      <c r="L16" s="75"/>
    </row>
    <row r="17" spans="1:16" ht="16.5" thickBot="1" x14ac:dyDescent="0.3">
      <c r="A17" s="2"/>
      <c r="B17" s="2"/>
      <c r="C17" s="77" t="s">
        <v>113</v>
      </c>
      <c r="D17" s="26"/>
      <c r="E17" s="26"/>
      <c r="F17" s="26"/>
      <c r="G17" s="2"/>
      <c r="H17" s="2"/>
      <c r="I17" s="2"/>
      <c r="J17" s="2"/>
      <c r="K17" s="26"/>
      <c r="L17" s="2"/>
      <c r="M17" s="2"/>
      <c r="N17" s="2"/>
      <c r="O17" s="2"/>
    </row>
    <row r="18" spans="1:16" x14ac:dyDescent="0.25">
      <c r="A18" s="2"/>
      <c r="B18" s="2"/>
      <c r="C18" s="73"/>
      <c r="D18" s="26"/>
      <c r="E18" s="26"/>
      <c r="F18" s="26"/>
      <c r="G18" s="2"/>
      <c r="H18" s="2"/>
      <c r="I18" s="2"/>
      <c r="J18" s="2"/>
      <c r="K18" s="26"/>
      <c r="L18" s="2"/>
      <c r="M18" s="2"/>
      <c r="N18" s="2"/>
      <c r="O18" s="2"/>
    </row>
    <row r="19" spans="1:16" x14ac:dyDescent="0.25">
      <c r="A19" s="74" t="s">
        <v>112</v>
      </c>
      <c r="C19" s="26"/>
      <c r="D19" s="26"/>
      <c r="E19" s="26"/>
      <c r="F19" s="26"/>
      <c r="K19" s="19"/>
    </row>
    <row r="20" spans="1:16" ht="21" x14ac:dyDescent="0.35">
      <c r="A20" s="83" t="s">
        <v>36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21" x14ac:dyDescent="0.35">
      <c r="A21" s="3"/>
      <c r="B21" s="3"/>
      <c r="C21" s="3"/>
      <c r="D21" s="3"/>
      <c r="E21" s="3"/>
    </row>
    <row r="22" spans="1:16" ht="21" x14ac:dyDescent="0.35">
      <c r="A22" s="4" t="s">
        <v>1</v>
      </c>
      <c r="B22" s="3"/>
      <c r="C22" s="3"/>
      <c r="D22" s="3"/>
      <c r="E22" s="3"/>
    </row>
    <row r="23" spans="1:16" ht="15.75" thickBot="1" x14ac:dyDescent="0.3"/>
    <row r="24" spans="1:16" ht="15.75" thickBot="1" x14ac:dyDescent="0.3">
      <c r="A24" s="5" t="s">
        <v>4</v>
      </c>
      <c r="B24" s="6" t="s">
        <v>5</v>
      </c>
      <c r="C24" s="27" t="s">
        <v>8</v>
      </c>
      <c r="D24" s="5" t="s">
        <v>13</v>
      </c>
      <c r="E24" s="7" t="s">
        <v>17</v>
      </c>
    </row>
    <row r="25" spans="1:16" x14ac:dyDescent="0.25">
      <c r="A25" s="9">
        <f>ROUND(65.8*'[2]Indexierung 2023 + Budget'!$B$15,1)</f>
        <v>71.8</v>
      </c>
      <c r="B25" s="9">
        <f>ROUND(74.9*'[2]Indexierung 2023 + Budget'!$B$15,1)</f>
        <v>81.7</v>
      </c>
      <c r="C25" s="9">
        <f>ROUND(123.4*'[2]Indexierung 2023 + Budget'!$B$15,1)</f>
        <v>134.6</v>
      </c>
      <c r="D25" s="9">
        <f>ROUND(89.6*'[2]Indexierung 2023 + Budget'!$B$15,1)</f>
        <v>97.8</v>
      </c>
      <c r="E25" s="9">
        <f>ROUND(80.6*'[2]Indexierung 2023 + Budget'!$B$15,1)</f>
        <v>87.9</v>
      </c>
    </row>
    <row r="26" spans="1:16" s="29" customFormat="1" ht="15.75" thickBot="1" x14ac:dyDescent="0.3">
      <c r="A26" s="13">
        <f>ROUND(7.9*'[2]Indexierung 2023 + Budget'!$B$11,1)</f>
        <v>8.6</v>
      </c>
      <c r="B26" s="13">
        <f>ROUND(8.9*'[2]Indexierung 2023 + Budget'!$B$11,1)</f>
        <v>9.6999999999999993</v>
      </c>
      <c r="C26" s="13">
        <f>ROUND(25.8*'[2]Indexierung 2023 + Budget'!$B$11,1)</f>
        <v>28.2</v>
      </c>
      <c r="D26" s="13">
        <f>ROUND(13.5*'[2]Indexierung 2023 + Budget'!$B$11,1)</f>
        <v>14.7</v>
      </c>
      <c r="E26" s="13">
        <f>ROUND(8.9*'[2]Indexierung 2023 + Budget'!$B$11,1)</f>
        <v>9.6999999999999993</v>
      </c>
      <c r="F26" s="1"/>
      <c r="G26" s="28"/>
      <c r="H26" s="28"/>
      <c r="I26" s="2"/>
      <c r="J26" s="2"/>
      <c r="K26" s="28"/>
      <c r="L26" s="2"/>
      <c r="M26" s="2"/>
      <c r="N26" s="2"/>
    </row>
    <row r="27" spans="1:16" ht="16.5" thickBot="1" x14ac:dyDescent="0.3">
      <c r="A27" s="15">
        <f t="shared" ref="A27:E27" si="1">SUM(A25:A26)</f>
        <v>80.399999999999991</v>
      </c>
      <c r="B27" s="15">
        <f t="shared" si="1"/>
        <v>91.4</v>
      </c>
      <c r="C27" s="15">
        <f t="shared" si="1"/>
        <v>162.79999999999998</v>
      </c>
      <c r="D27" s="15">
        <f t="shared" si="1"/>
        <v>112.5</v>
      </c>
      <c r="E27" s="15">
        <f t="shared" si="1"/>
        <v>97.600000000000009</v>
      </c>
      <c r="G27" s="30"/>
      <c r="H27" s="30"/>
      <c r="I27" s="16"/>
      <c r="J27" s="16"/>
      <c r="K27" s="30"/>
      <c r="L27" s="16"/>
      <c r="M27" s="16"/>
      <c r="N27" s="16"/>
    </row>
    <row r="28" spans="1:16" ht="15.75" x14ac:dyDescent="0.25">
      <c r="A28" s="31"/>
      <c r="B28" s="32"/>
      <c r="C28" s="33"/>
      <c r="D28" s="18">
        <f>D25+29.4*'[2]Indexierung 2023 + Budget'!$B$11</f>
        <v>129.90479999999999</v>
      </c>
      <c r="E28" s="34"/>
      <c r="F28" s="35"/>
      <c r="G28" s="31"/>
      <c r="H28" s="19"/>
      <c r="I28" s="35"/>
      <c r="J28" s="16"/>
      <c r="K28" s="35"/>
      <c r="L28" s="32"/>
      <c r="M28" s="32"/>
      <c r="N28" s="32"/>
    </row>
    <row r="29" spans="1:16" ht="16.5" thickBot="1" x14ac:dyDescent="0.3">
      <c r="A29" s="31"/>
      <c r="B29" s="32"/>
      <c r="C29" s="36"/>
      <c r="D29" s="20" t="s">
        <v>20</v>
      </c>
      <c r="E29" s="34"/>
      <c r="F29" s="35"/>
      <c r="G29" s="31"/>
      <c r="H29" s="19"/>
      <c r="I29" s="35"/>
      <c r="J29" s="16"/>
      <c r="K29" s="35"/>
      <c r="L29" s="32"/>
      <c r="M29" s="32"/>
      <c r="N29" s="32"/>
    </row>
    <row r="30" spans="1:16" ht="18.75" x14ac:dyDescent="0.3">
      <c r="A30" s="4" t="s">
        <v>19</v>
      </c>
      <c r="F30" s="19"/>
      <c r="G30" s="16"/>
      <c r="H30" s="16"/>
      <c r="I30" s="16"/>
      <c r="J30" s="37"/>
      <c r="K30" s="16"/>
      <c r="L30" s="38"/>
      <c r="M30" s="16"/>
      <c r="N30" s="16"/>
    </row>
    <row r="31" spans="1:16" ht="15.75" thickBot="1" x14ac:dyDescent="0.3"/>
    <row r="32" spans="1:16" ht="15.75" thickBot="1" x14ac:dyDescent="0.3">
      <c r="A32" s="5" t="s">
        <v>22</v>
      </c>
      <c r="B32" s="5" t="s">
        <v>23</v>
      </c>
      <c r="C32" s="5" t="s">
        <v>24</v>
      </c>
      <c r="D32" s="5" t="s">
        <v>25</v>
      </c>
      <c r="E32" s="5" t="s">
        <v>26</v>
      </c>
      <c r="F32" s="5" t="s">
        <v>29</v>
      </c>
      <c r="G32" s="5" t="s">
        <v>30</v>
      </c>
      <c r="H32" s="5" t="s">
        <v>31</v>
      </c>
    </row>
    <row r="33" spans="1:16" ht="16.5" thickBot="1" x14ac:dyDescent="0.3">
      <c r="A33" s="15">
        <f>ROUND(141.6*'[2]Indexierung 2023 + Budget'!$B$15,1)</f>
        <v>154.5</v>
      </c>
      <c r="B33" s="15">
        <f>ROUND(115.8*'[2]Indexierung 2023 + Budget'!$B$15,1)</f>
        <v>126.3</v>
      </c>
      <c r="C33" s="15">
        <f>ROUND(109.6*'[2]Indexierung 2023 + Budget'!$B$15,1)</f>
        <v>119.6</v>
      </c>
      <c r="D33" s="15">
        <f>ROUND(55.6*'[2]Indexierung 2023 + Budget'!$B$15,1)</f>
        <v>60.7</v>
      </c>
      <c r="E33" s="15">
        <f>ROUND(133.5*'[2]Indexierung 2023 + Budget'!$B$15,1)</f>
        <v>145.6</v>
      </c>
      <c r="F33" s="15">
        <f>ROUND(222.6*'[2]Indexierung 2023 + Budget'!$B$15,1)</f>
        <v>242.9</v>
      </c>
      <c r="G33" s="15">
        <f>ROUND(146.1*'[2]Indexierung 2023 + Budget'!$B$15,1)</f>
        <v>159.4</v>
      </c>
      <c r="H33" s="15">
        <f>ROUND(330.5*'[2]Indexierung 2023 + Budget'!$B$15,1)</f>
        <v>360.6</v>
      </c>
      <c r="I33" s="75"/>
    </row>
    <row r="34" spans="1:16" ht="16.5" thickBot="1" x14ac:dyDescent="0.3">
      <c r="A34" s="30"/>
      <c r="B34" s="77" t="s">
        <v>114</v>
      </c>
      <c r="C34" s="5" t="s">
        <v>33</v>
      </c>
      <c r="D34" s="30"/>
      <c r="E34" s="30"/>
      <c r="F34" s="5" t="s">
        <v>35</v>
      </c>
      <c r="G34" s="30"/>
      <c r="H34" s="30"/>
      <c r="I34" s="75"/>
    </row>
    <row r="35" spans="1:16" ht="16.5" thickBot="1" x14ac:dyDescent="0.3">
      <c r="B35" s="5" t="s">
        <v>32</v>
      </c>
      <c r="C35" s="24">
        <f>ROUND(C33*1.3,1)</f>
        <v>155.5</v>
      </c>
      <c r="D35" s="22"/>
      <c r="F35" s="24">
        <f>ROUND(F33*1.3,1)</f>
        <v>315.8</v>
      </c>
      <c r="H35" s="22"/>
    </row>
    <row r="36" spans="1:16" ht="16.5" thickBot="1" x14ac:dyDescent="0.3">
      <c r="B36" s="24">
        <f>ROUND(B33*1.3,1)</f>
        <v>164.2</v>
      </c>
      <c r="G36" s="25"/>
    </row>
    <row r="37" spans="1:16" ht="16.5" thickBot="1" x14ac:dyDescent="0.3">
      <c r="A37" s="39"/>
      <c r="B37" s="79" t="s">
        <v>115</v>
      </c>
      <c r="C37" s="39"/>
      <c r="D37" s="39"/>
      <c r="E37" s="39"/>
      <c r="F37" s="39"/>
      <c r="G37" s="39"/>
      <c r="H37" s="39"/>
      <c r="I37" s="39"/>
    </row>
    <row r="38" spans="1:16" x14ac:dyDescent="0.25">
      <c r="A38" s="39"/>
      <c r="B38" s="39"/>
      <c r="C38" s="39"/>
      <c r="D38" s="39"/>
      <c r="E38" s="39"/>
      <c r="F38" s="39"/>
      <c r="G38" s="39"/>
      <c r="H38" s="39"/>
      <c r="I38" s="39"/>
    </row>
    <row r="39" spans="1:16" x14ac:dyDescent="0.25">
      <c r="A39" s="74" t="s">
        <v>112</v>
      </c>
      <c r="C39" s="26"/>
      <c r="D39" s="26"/>
      <c r="E39" s="26"/>
      <c r="F39" s="26"/>
      <c r="K39" s="19"/>
    </row>
    <row r="40" spans="1:16" ht="21" x14ac:dyDescent="0.35">
      <c r="A40" s="83" t="s">
        <v>37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</row>
    <row r="41" spans="1:16" ht="21" x14ac:dyDescent="0.35">
      <c r="A41" s="3"/>
      <c r="B41" s="3"/>
      <c r="C41" s="3"/>
      <c r="D41" s="3"/>
      <c r="E41" s="3"/>
    </row>
    <row r="42" spans="1:16" ht="21" x14ac:dyDescent="0.35">
      <c r="A42" s="4" t="s">
        <v>1</v>
      </c>
      <c r="B42" s="3"/>
      <c r="C42" s="3"/>
      <c r="D42" s="3"/>
      <c r="E42" s="3"/>
    </row>
    <row r="43" spans="1:16" ht="15.75" thickBot="1" x14ac:dyDescent="0.3"/>
    <row r="44" spans="1:16" ht="15.75" thickBot="1" x14ac:dyDescent="0.3">
      <c r="A44" s="5" t="s">
        <v>4</v>
      </c>
      <c r="B44" s="27" t="s">
        <v>8</v>
      </c>
      <c r="C44" s="5" t="s">
        <v>13</v>
      </c>
      <c r="D44" s="7" t="s">
        <v>17</v>
      </c>
    </row>
    <row r="45" spans="1:16" x14ac:dyDescent="0.25">
      <c r="A45" s="9">
        <f>ROUND(65.4*'[2]Indexierung 2023 + Budget'!$B$15,1)</f>
        <v>71.400000000000006</v>
      </c>
      <c r="B45" s="9">
        <f>ROUND(122.9*'[2]Indexierung 2023 + Budget'!$B$15,1)</f>
        <v>134.1</v>
      </c>
      <c r="C45" s="9">
        <f>ROUND(89*'[2]Indexierung 2023 + Budget'!$B$15,1)</f>
        <v>97.1</v>
      </c>
      <c r="D45" s="9">
        <f>ROUND(79.8*'[2]Indexierung 2023 + Budget'!$B$15,1)</f>
        <v>87.1</v>
      </c>
    </row>
    <row r="46" spans="1:16" s="29" customFormat="1" ht="15.75" thickBot="1" x14ac:dyDescent="0.3">
      <c r="A46" s="13">
        <f>ROUND(7.9*'[2]Indexierung 2023 + Budget'!$B$11,1)</f>
        <v>8.6</v>
      </c>
      <c r="B46" s="13">
        <f>ROUND(25.7*'[2]Indexierung 2023 + Budget'!$B$11,1)</f>
        <v>28.1</v>
      </c>
      <c r="C46" s="13">
        <f>ROUND(13.5*'[2]Indexierung 2023 + Budget'!$B$11,1)</f>
        <v>14.7</v>
      </c>
      <c r="D46" s="13">
        <f>ROUND(8.7*'[2]Indexierung 2023 + Budget'!$B$11,1)</f>
        <v>9.5</v>
      </c>
      <c r="E46" s="28"/>
      <c r="F46" s="28"/>
      <c r="G46" s="28"/>
      <c r="H46" s="2"/>
      <c r="I46" s="2"/>
      <c r="J46" s="28"/>
      <c r="K46" s="2"/>
    </row>
    <row r="47" spans="1:16" ht="16.5" thickBot="1" x14ac:dyDescent="0.3">
      <c r="A47" s="15">
        <f>SUM(A45:A46)</f>
        <v>80</v>
      </c>
      <c r="B47" s="15">
        <f>SUM(B45:B46)</f>
        <v>162.19999999999999</v>
      </c>
      <c r="C47" s="15">
        <f>SUM(C45:C46)</f>
        <v>111.8</v>
      </c>
      <c r="D47" s="15">
        <f>SUM(D45:D46)</f>
        <v>96.6</v>
      </c>
      <c r="E47" s="30"/>
      <c r="F47" s="30"/>
      <c r="G47" s="30"/>
      <c r="H47" s="16"/>
      <c r="I47" s="16"/>
      <c r="J47" s="30"/>
      <c r="K47" s="16"/>
    </row>
    <row r="48" spans="1:16" ht="15.75" x14ac:dyDescent="0.25">
      <c r="A48" s="31"/>
      <c r="B48" s="32"/>
      <c r="C48" s="18">
        <f>C45+29.1*'[2]Indexierung 2023 + Budget'!$B$11</f>
        <v>128.87719999999999</v>
      </c>
      <c r="E48" s="40"/>
      <c r="F48" s="41"/>
      <c r="G48" s="31"/>
      <c r="H48" s="31"/>
      <c r="I48" s="35"/>
      <c r="J48" s="16"/>
      <c r="K48" s="32"/>
      <c r="L48" s="32"/>
    </row>
    <row r="49" spans="1:16" ht="16.5" thickBot="1" x14ac:dyDescent="0.3">
      <c r="A49" s="31"/>
      <c r="B49" s="32"/>
      <c r="C49" s="20" t="s">
        <v>20</v>
      </c>
      <c r="E49" s="40"/>
      <c r="F49" s="41"/>
      <c r="G49" s="31"/>
      <c r="H49" s="31"/>
      <c r="I49" s="35"/>
      <c r="J49" s="16"/>
      <c r="K49" s="35"/>
      <c r="L49" s="32"/>
    </row>
    <row r="50" spans="1:16" ht="18.75" x14ac:dyDescent="0.3">
      <c r="A50" s="4" t="s">
        <v>19</v>
      </c>
      <c r="F50" s="16"/>
      <c r="G50" s="16"/>
      <c r="H50" s="16"/>
      <c r="I50" s="16"/>
      <c r="K50" s="16"/>
      <c r="L50" s="38"/>
    </row>
    <row r="51" spans="1:16" ht="15.75" thickBot="1" x14ac:dyDescent="0.3"/>
    <row r="52" spans="1:16" ht="15.75" thickBot="1" x14ac:dyDescent="0.3">
      <c r="A52" s="5" t="s">
        <v>22</v>
      </c>
      <c r="B52" s="5" t="s">
        <v>23</v>
      </c>
      <c r="C52" s="5" t="s">
        <v>24</v>
      </c>
      <c r="D52" s="5" t="s">
        <v>25</v>
      </c>
      <c r="E52" s="5" t="s">
        <v>26</v>
      </c>
      <c r="F52" s="5" t="s">
        <v>29</v>
      </c>
      <c r="G52" s="5" t="s">
        <v>30</v>
      </c>
    </row>
    <row r="53" spans="1:16" ht="16.5" thickBot="1" x14ac:dyDescent="0.3">
      <c r="A53" s="15">
        <f>ROUND(139.9*'[2]Indexierung 2023 + Budget'!$B$15,1)</f>
        <v>152.6</v>
      </c>
      <c r="B53" s="15">
        <f>ROUND(114.8*'[2]Indexierung 2023 + Budget'!$B$15,1)</f>
        <v>125.2</v>
      </c>
      <c r="C53" s="15">
        <f>ROUND(108.8*'[2]Indexierung 2023 + Budget'!$B$15,1)</f>
        <v>118.7</v>
      </c>
      <c r="D53" s="15">
        <f>ROUND(55.1*'[2]Indexierung 2023 + Budget'!$B$15,1)</f>
        <v>60.1</v>
      </c>
      <c r="E53" s="15">
        <f>ROUND(132.3*'[2]Indexierung 2023 + Budget'!$B$15,1)</f>
        <v>144.30000000000001</v>
      </c>
      <c r="F53" s="15">
        <f>ROUND(220.5*'[2]Indexierung 2023 + Budget'!$B$15,1)</f>
        <v>240.6</v>
      </c>
      <c r="G53" s="15">
        <f>ROUND(144.5*'[2]Indexierung 2023 + Budget'!$B$15,1)</f>
        <v>157.6</v>
      </c>
    </row>
    <row r="54" spans="1:16" ht="16.5" thickBot="1" x14ac:dyDescent="0.3">
      <c r="A54" s="30"/>
      <c r="B54" s="77" t="s">
        <v>116</v>
      </c>
      <c r="C54" s="5" t="s">
        <v>33</v>
      </c>
      <c r="D54" s="30"/>
      <c r="E54" s="30"/>
      <c r="F54" s="5" t="s">
        <v>35</v>
      </c>
      <c r="G54" s="30"/>
      <c r="H54" s="21"/>
    </row>
    <row r="55" spans="1:16" ht="16.5" thickBot="1" x14ac:dyDescent="0.3">
      <c r="B55" s="5" t="s">
        <v>32</v>
      </c>
      <c r="C55" s="24">
        <f>ROUND(C53*1.3,1)</f>
        <v>154.30000000000001</v>
      </c>
      <c r="D55" s="22"/>
      <c r="F55" s="24">
        <f>ROUND(F53*1.3,1)</f>
        <v>312.8</v>
      </c>
    </row>
    <row r="56" spans="1:16" ht="16.5" thickBot="1" x14ac:dyDescent="0.3">
      <c r="B56" s="24">
        <f>ROUND(B53*1.3,1)</f>
        <v>162.80000000000001</v>
      </c>
      <c r="G56" s="25"/>
    </row>
    <row r="57" spans="1:16" ht="16.5" thickBot="1" x14ac:dyDescent="0.3">
      <c r="A57" s="39"/>
      <c r="B57" s="79" t="s">
        <v>117</v>
      </c>
      <c r="C57" s="39"/>
      <c r="D57" s="39"/>
      <c r="E57" s="39"/>
      <c r="F57" s="39"/>
      <c r="G57" s="39"/>
      <c r="H57" s="39"/>
      <c r="I57" s="39"/>
    </row>
    <row r="58" spans="1:16" x14ac:dyDescent="0.25">
      <c r="A58" s="39"/>
      <c r="B58" s="39"/>
      <c r="C58" s="39"/>
      <c r="D58" s="39"/>
      <c r="E58" s="39"/>
      <c r="F58" s="39"/>
      <c r="G58" s="39"/>
      <c r="H58" s="39"/>
      <c r="I58" s="39"/>
    </row>
    <row r="59" spans="1:16" x14ac:dyDescent="0.25">
      <c r="A59" s="74" t="s">
        <v>112</v>
      </c>
      <c r="C59" s="26"/>
      <c r="D59" s="26"/>
      <c r="E59" s="26"/>
      <c r="F59" s="26"/>
      <c r="J59" s="19"/>
    </row>
    <row r="60" spans="1:16" ht="21" x14ac:dyDescent="0.35">
      <c r="A60" s="83" t="s">
        <v>38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</row>
    <row r="61" spans="1:16" ht="21" x14ac:dyDescent="0.35">
      <c r="A61" s="3"/>
      <c r="B61" s="3"/>
      <c r="C61" s="3"/>
      <c r="D61" s="3"/>
      <c r="E61" s="3"/>
    </row>
    <row r="62" spans="1:16" ht="21" x14ac:dyDescent="0.35">
      <c r="A62" s="4" t="s">
        <v>1</v>
      </c>
      <c r="B62" s="3"/>
      <c r="C62" s="3"/>
      <c r="D62" s="3"/>
      <c r="E62" s="3"/>
    </row>
    <row r="63" spans="1:16" ht="15.75" thickBot="1" x14ac:dyDescent="0.3"/>
    <row r="64" spans="1:16" ht="15.75" thickBot="1" x14ac:dyDescent="0.3">
      <c r="A64" s="5" t="s">
        <v>4</v>
      </c>
      <c r="B64" s="5" t="s">
        <v>8</v>
      </c>
      <c r="C64" s="5" t="s">
        <v>17</v>
      </c>
    </row>
    <row r="65" spans="1:16" x14ac:dyDescent="0.25">
      <c r="A65" s="9">
        <f>ROUND(64.7*'[2]Indexierung 2023 + Budget'!$B$15,1)</f>
        <v>70.599999999999994</v>
      </c>
      <c r="B65" s="9">
        <f>ROUND(122.5*'[2]Indexierung 2023 + Budget'!$B$15,1)</f>
        <v>133.6</v>
      </c>
      <c r="C65" s="9">
        <f>ROUND(79.2*'[2]Indexierung 2023 + Budget'!$B$15,1)</f>
        <v>86.4</v>
      </c>
    </row>
    <row r="66" spans="1:16" s="29" customFormat="1" ht="15.75" thickBot="1" x14ac:dyDescent="0.3">
      <c r="A66" s="13">
        <f>ROUND(7.8*'[2]Indexierung 2023 + Budget'!$B$11,1)</f>
        <v>8.5</v>
      </c>
      <c r="B66" s="13">
        <f>ROUND(25.6*'[2]Indexierung 2023 + Budget'!$B$11,1)</f>
        <v>28</v>
      </c>
      <c r="C66" s="13">
        <f>ROUND(8.6*'[2]Indexierung 2023 + Budget'!$B$11,1)</f>
        <v>9.4</v>
      </c>
      <c r="D66" s="28"/>
      <c r="E66" s="28"/>
      <c r="F66" s="28"/>
      <c r="G66" s="2"/>
      <c r="H66" s="2"/>
      <c r="I66" s="28"/>
      <c r="J66" s="2"/>
    </row>
    <row r="67" spans="1:16" ht="16.5" thickBot="1" x14ac:dyDescent="0.3">
      <c r="A67" s="15">
        <f>SUM(A65:A66)</f>
        <v>79.099999999999994</v>
      </c>
      <c r="B67" s="15">
        <f>SUM(B65:B66)</f>
        <v>161.6</v>
      </c>
      <c r="C67" s="15">
        <f>SUM(C65:C66)</f>
        <v>95.800000000000011</v>
      </c>
      <c r="D67" s="30"/>
      <c r="E67" s="30"/>
      <c r="F67" s="30"/>
      <c r="G67" s="16"/>
      <c r="H67" s="16"/>
      <c r="I67" s="30"/>
      <c r="J67" s="16"/>
    </row>
    <row r="68" spans="1:16" x14ac:dyDescent="0.25">
      <c r="A68" s="31"/>
      <c r="B68" s="32"/>
      <c r="D68" s="34"/>
      <c r="E68" s="35"/>
      <c r="F68" s="31"/>
      <c r="G68" s="31"/>
      <c r="H68" s="35"/>
      <c r="I68" s="16"/>
      <c r="J68" s="35"/>
      <c r="K68" s="32"/>
    </row>
    <row r="69" spans="1:16" ht="18.75" x14ac:dyDescent="0.3">
      <c r="A69" s="4" t="s">
        <v>19</v>
      </c>
      <c r="F69" s="16"/>
      <c r="G69" s="16"/>
      <c r="H69" s="16"/>
      <c r="I69" s="16"/>
      <c r="J69" s="37"/>
      <c r="K69" s="16"/>
      <c r="L69" s="38"/>
    </row>
    <row r="70" spans="1:16" ht="15.75" thickBot="1" x14ac:dyDescent="0.3"/>
    <row r="71" spans="1:16" ht="15.75" thickBot="1" x14ac:dyDescent="0.3">
      <c r="A71" s="5" t="s">
        <v>22</v>
      </c>
      <c r="B71" s="5" t="s">
        <v>23</v>
      </c>
      <c r="C71" s="5" t="s">
        <v>24</v>
      </c>
      <c r="D71" s="5" t="s">
        <v>25</v>
      </c>
      <c r="E71" s="5" t="s">
        <v>26</v>
      </c>
      <c r="F71" s="5" t="s">
        <v>29</v>
      </c>
      <c r="G71" s="5" t="s">
        <v>30</v>
      </c>
    </row>
    <row r="72" spans="1:16" ht="16.5" thickBot="1" x14ac:dyDescent="0.3">
      <c r="A72" s="15">
        <f>ROUND(138.2*'[2]Indexierung 2023 + Budget'!$B$15,1)</f>
        <v>150.80000000000001</v>
      </c>
      <c r="B72" s="15">
        <f>ROUND(113.9*'[2]Indexierung 2023 + Budget'!$B$15,1)</f>
        <v>124.3</v>
      </c>
      <c r="C72" s="15">
        <f>ROUND(108*'[2]Indexierung 2023 + Budget'!$B$15,1)</f>
        <v>117.8</v>
      </c>
      <c r="D72" s="15">
        <f>ROUND(54.7*'[2]Indexierung 2023 + Budget'!$B$15,1)</f>
        <v>59.7</v>
      </c>
      <c r="E72" s="15">
        <f>ROUND(131.2*'[2]Indexierung 2023 + Budget'!$B$15,1)</f>
        <v>143.1</v>
      </c>
      <c r="F72" s="15">
        <f>ROUND(218.9*'[2]Indexierung 2023 + Budget'!$B$15,1)</f>
        <v>238.8</v>
      </c>
      <c r="G72" s="15">
        <f>ROUND(142.8*'[2]Indexierung 2023 + Budget'!$B$15,1)</f>
        <v>155.80000000000001</v>
      </c>
    </row>
    <row r="73" spans="1:16" ht="16.5" thickBot="1" x14ac:dyDescent="0.3">
      <c r="A73" s="73"/>
      <c r="B73" s="77" t="s">
        <v>118</v>
      </c>
      <c r="C73" s="5" t="s">
        <v>33</v>
      </c>
      <c r="D73" s="73"/>
      <c r="E73" s="73"/>
      <c r="F73" s="5" t="s">
        <v>35</v>
      </c>
      <c r="G73" s="73"/>
    </row>
    <row r="74" spans="1:16" ht="16.5" thickBot="1" x14ac:dyDescent="0.3">
      <c r="B74" s="5" t="s">
        <v>32</v>
      </c>
      <c r="C74" s="24">
        <f>ROUND(C72*1.3,1)</f>
        <v>153.1</v>
      </c>
      <c r="D74" s="22"/>
      <c r="F74" s="24">
        <f>ROUND(F72*1.3,1)</f>
        <v>310.39999999999998</v>
      </c>
    </row>
    <row r="75" spans="1:16" ht="16.5" thickBot="1" x14ac:dyDescent="0.3">
      <c r="B75" s="24">
        <f>ROUND(B72*1.3,1)</f>
        <v>161.6</v>
      </c>
      <c r="G75" s="25"/>
    </row>
    <row r="76" spans="1:16" ht="16.5" thickBot="1" x14ac:dyDescent="0.3">
      <c r="A76" s="39"/>
      <c r="B76" s="79" t="s">
        <v>119</v>
      </c>
      <c r="C76" s="39"/>
      <c r="D76" s="39"/>
      <c r="E76" s="39"/>
      <c r="F76" s="39"/>
      <c r="G76" s="39"/>
      <c r="H76" s="39"/>
      <c r="I76" s="39"/>
    </row>
    <row r="77" spans="1:16" x14ac:dyDescent="0.25">
      <c r="A77" s="39"/>
      <c r="B77" s="39"/>
      <c r="C77" s="39"/>
      <c r="D77" s="39"/>
      <c r="E77" s="39"/>
      <c r="F77" s="39"/>
      <c r="G77" s="39"/>
      <c r="H77" s="39"/>
      <c r="I77" s="39"/>
    </row>
    <row r="78" spans="1:16" x14ac:dyDescent="0.25">
      <c r="A78" s="74" t="s">
        <v>112</v>
      </c>
      <c r="C78" s="26"/>
      <c r="D78" s="26"/>
      <c r="E78" s="26"/>
      <c r="F78" s="26"/>
      <c r="J78" s="19"/>
    </row>
    <row r="79" spans="1:16" ht="21" x14ac:dyDescent="0.35">
      <c r="A79" s="83" t="s">
        <v>39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</row>
    <row r="80" spans="1:16" ht="21" x14ac:dyDescent="0.35">
      <c r="A80" s="3"/>
      <c r="B80" s="3"/>
      <c r="C80" s="3"/>
      <c r="D80" s="3"/>
      <c r="E80" s="3"/>
    </row>
    <row r="81" spans="1:12" ht="21" x14ac:dyDescent="0.35">
      <c r="A81" s="4" t="s">
        <v>1</v>
      </c>
      <c r="B81" s="3"/>
      <c r="C81" s="3"/>
      <c r="D81" s="3"/>
      <c r="E81" s="3"/>
    </row>
    <row r="82" spans="1:12" ht="15.75" thickBot="1" x14ac:dyDescent="0.3"/>
    <row r="83" spans="1:12" ht="15.75" thickBot="1" x14ac:dyDescent="0.3">
      <c r="A83" s="5" t="s">
        <v>4</v>
      </c>
    </row>
    <row r="84" spans="1:12" x14ac:dyDescent="0.25">
      <c r="A84" s="9">
        <f>ROUND(64.1*'[2]Indexierung 2023 + Budget'!$B$15,1)</f>
        <v>69.900000000000006</v>
      </c>
    </row>
    <row r="85" spans="1:12" s="29" customFormat="1" ht="15.75" thickBot="1" x14ac:dyDescent="0.3">
      <c r="A85" s="13">
        <f>ROUND(7.8*'[2]Indexierung 2023 + Budget'!$B$11,1)</f>
        <v>8.5</v>
      </c>
      <c r="B85" s="28"/>
      <c r="C85" s="28"/>
      <c r="D85" s="28"/>
      <c r="E85" s="2"/>
      <c r="F85" s="2"/>
      <c r="G85" s="28"/>
      <c r="H85" s="2"/>
    </row>
    <row r="86" spans="1:12" ht="16.5" thickBot="1" x14ac:dyDescent="0.3">
      <c r="A86" s="15">
        <f>SUM(A84:A85)</f>
        <v>78.400000000000006</v>
      </c>
      <c r="B86" s="30"/>
      <c r="C86" s="30"/>
      <c r="D86" s="30"/>
      <c r="E86" s="16"/>
      <c r="F86" s="16"/>
      <c r="G86" s="30"/>
      <c r="H86" s="16"/>
    </row>
    <row r="87" spans="1:12" x14ac:dyDescent="0.25">
      <c r="A87" s="31"/>
      <c r="B87" s="32"/>
      <c r="C87" s="36"/>
      <c r="D87" s="36"/>
      <c r="E87" s="34"/>
      <c r="F87" s="35"/>
      <c r="G87" s="31"/>
      <c r="H87" s="31"/>
      <c r="I87" s="35"/>
      <c r="J87" s="16"/>
      <c r="K87" s="35"/>
      <c r="L87" s="32"/>
    </row>
    <row r="88" spans="1:12" ht="18.75" x14ac:dyDescent="0.3">
      <c r="A88" s="4" t="s">
        <v>19</v>
      </c>
      <c r="F88" s="16"/>
      <c r="G88" s="16"/>
      <c r="H88" s="16"/>
      <c r="I88" s="16"/>
      <c r="J88" s="37"/>
      <c r="K88" s="16"/>
      <c r="L88" s="38"/>
    </row>
    <row r="89" spans="1:12" ht="15.75" thickBot="1" x14ac:dyDescent="0.3"/>
    <row r="90" spans="1:12" ht="15.75" thickBot="1" x14ac:dyDescent="0.3">
      <c r="A90" s="5" t="s">
        <v>22</v>
      </c>
      <c r="B90" s="5" t="s">
        <v>23</v>
      </c>
      <c r="C90" s="5" t="s">
        <v>24</v>
      </c>
      <c r="D90" s="5" t="s">
        <v>25</v>
      </c>
      <c r="E90" s="5" t="s">
        <v>26</v>
      </c>
      <c r="F90" s="5" t="s">
        <v>29</v>
      </c>
      <c r="G90" s="5" t="s">
        <v>30</v>
      </c>
      <c r="I90" s="21"/>
    </row>
    <row r="91" spans="1:12" ht="16.5" thickBot="1" x14ac:dyDescent="0.3">
      <c r="A91" s="15">
        <f>ROUND(136.9*'[2]Indexierung 2023 + Budget'!$B$15,1)</f>
        <v>149.4</v>
      </c>
      <c r="B91" s="15">
        <f>ROUND(113*'[2]Indexierung 2023 + Budget'!$B$15,1)</f>
        <v>123.3</v>
      </c>
      <c r="C91" s="15">
        <f>ROUND(106.9*'[2]Indexierung 2023 + Budget'!$B$15,1)</f>
        <v>116.6</v>
      </c>
      <c r="D91" s="15">
        <f>ROUND(54.2*'[2]Indexierung 2023 + Budget'!$B$15,1)</f>
        <v>59.1</v>
      </c>
      <c r="E91" s="15">
        <f>ROUND(129.9*'[2]Indexierung 2023 + Budget'!$B$15,1)</f>
        <v>141.69999999999999</v>
      </c>
      <c r="F91" s="15">
        <f>ROUND(217*'[2]Indexierung 2023 + Budget'!$B$15,1)</f>
        <v>236.7</v>
      </c>
      <c r="G91" s="15">
        <f>ROUND(141.5*'[2]Indexierung 2023 + Budget'!$B$15,1)</f>
        <v>154.4</v>
      </c>
    </row>
    <row r="92" spans="1:12" ht="16.5" thickBot="1" x14ac:dyDescent="0.3">
      <c r="A92" s="30"/>
      <c r="B92" s="77" t="s">
        <v>120</v>
      </c>
      <c r="C92" s="5" t="s">
        <v>33</v>
      </c>
      <c r="D92" s="30"/>
      <c r="E92" s="30"/>
      <c r="F92" s="5" t="s">
        <v>35</v>
      </c>
      <c r="G92" s="30"/>
    </row>
    <row r="93" spans="1:12" ht="16.5" thickBot="1" x14ac:dyDescent="0.3">
      <c r="B93" s="5" t="s">
        <v>32</v>
      </c>
      <c r="C93" s="24">
        <f>ROUND(C91*1.3,1)</f>
        <v>151.6</v>
      </c>
      <c r="D93" s="22"/>
      <c r="F93" s="24">
        <f>ROUND(F91*1.3,1)</f>
        <v>307.7</v>
      </c>
    </row>
    <row r="94" spans="1:12" ht="16.5" thickBot="1" x14ac:dyDescent="0.3">
      <c r="B94" s="24">
        <f>ROUND(B91*1.3,1)</f>
        <v>160.30000000000001</v>
      </c>
      <c r="G94" s="25"/>
    </row>
    <row r="95" spans="1:12" ht="16.5" thickBot="1" x14ac:dyDescent="0.3">
      <c r="A95" s="39"/>
      <c r="B95" s="78" t="s">
        <v>121</v>
      </c>
      <c r="C95" s="39"/>
      <c r="D95" s="39"/>
      <c r="E95" s="39"/>
      <c r="F95" s="39"/>
      <c r="G95" s="39"/>
      <c r="H95" s="39"/>
      <c r="I95" s="39"/>
    </row>
    <row r="96" spans="1:12" x14ac:dyDescent="0.25">
      <c r="A96" s="39"/>
      <c r="B96" s="39"/>
      <c r="C96" s="39"/>
      <c r="D96" s="39"/>
      <c r="E96" s="39"/>
      <c r="F96" s="39"/>
      <c r="G96" s="39"/>
      <c r="H96" s="39"/>
      <c r="I96" s="39"/>
    </row>
    <row r="97" spans="1:16" x14ac:dyDescent="0.25">
      <c r="A97" s="74" t="s">
        <v>112</v>
      </c>
      <c r="C97" s="26"/>
      <c r="D97" s="26"/>
      <c r="E97" s="26"/>
      <c r="F97" s="26"/>
      <c r="K97" s="19"/>
    </row>
    <row r="98" spans="1:16" ht="21" x14ac:dyDescent="0.35">
      <c r="A98" s="83" t="s">
        <v>40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</row>
    <row r="99" spans="1:16" ht="21" x14ac:dyDescent="0.35">
      <c r="A99" s="3"/>
      <c r="B99" s="3"/>
      <c r="C99" s="3"/>
      <c r="D99" s="3"/>
      <c r="E99" s="3"/>
    </row>
    <row r="100" spans="1:16" ht="18.75" x14ac:dyDescent="0.3">
      <c r="A100" s="4" t="s">
        <v>19</v>
      </c>
      <c r="E100" s="16"/>
      <c r="F100" s="16"/>
      <c r="G100" s="16"/>
      <c r="H100" s="16"/>
      <c r="I100" s="37"/>
      <c r="J100" s="16"/>
    </row>
    <row r="101" spans="1:16" ht="15.75" thickBot="1" x14ac:dyDescent="0.3"/>
    <row r="102" spans="1:16" ht="15.75" thickBot="1" x14ac:dyDescent="0.3">
      <c r="A102" s="5" t="s">
        <v>23</v>
      </c>
      <c r="B102" s="5" t="s">
        <v>24</v>
      </c>
      <c r="C102" s="5" t="s">
        <v>25</v>
      </c>
      <c r="D102" s="5" t="s">
        <v>29</v>
      </c>
    </row>
    <row r="103" spans="1:16" ht="16.5" thickBot="1" x14ac:dyDescent="0.3">
      <c r="A103" s="15">
        <f>ROUND(111.9*'[2]Indexierung 2023 + Budget'!$B$15,1)</f>
        <v>122.1</v>
      </c>
      <c r="B103" s="15">
        <f>ROUND(106.2*'[2]Indexierung 2023 + Budget'!$B$15,1)</f>
        <v>115.9</v>
      </c>
      <c r="C103" s="15">
        <f>ROUND(53.6*'[2]Indexierung 2023 + Budget'!$B$15,1)</f>
        <v>58.5</v>
      </c>
      <c r="D103" s="15">
        <f>ROUND(215.4*'[2]Indexierung 2023 + Budget'!$B$15,1)</f>
        <v>235</v>
      </c>
    </row>
    <row r="104" spans="1:16" ht="16.5" thickBot="1" x14ac:dyDescent="0.3">
      <c r="A104" s="77" t="s">
        <v>122</v>
      </c>
      <c r="B104" s="5" t="s">
        <v>33</v>
      </c>
      <c r="C104" s="30"/>
      <c r="D104" s="5" t="s">
        <v>35</v>
      </c>
      <c r="H104" s="21"/>
    </row>
    <row r="105" spans="1:16" ht="16.5" thickBot="1" x14ac:dyDescent="0.3">
      <c r="A105" s="5" t="s">
        <v>32</v>
      </c>
      <c r="B105" s="24">
        <f>ROUND(B103*1.3,1)</f>
        <v>150.69999999999999</v>
      </c>
      <c r="C105" s="22"/>
      <c r="D105" s="24">
        <f>ROUND(D103*1.3,1)</f>
        <v>305.5</v>
      </c>
    </row>
    <row r="106" spans="1:16" ht="16.5" thickBot="1" x14ac:dyDescent="0.3">
      <c r="A106" s="24">
        <f>ROUND(A103*1.3,1)</f>
        <v>158.69999999999999</v>
      </c>
      <c r="C106" s="17"/>
      <c r="E106" s="25"/>
    </row>
    <row r="107" spans="1:16" ht="16.5" thickBot="1" x14ac:dyDescent="0.3">
      <c r="A107" s="79" t="s">
        <v>123</v>
      </c>
      <c r="B107" s="39"/>
      <c r="C107" s="39"/>
      <c r="D107" s="39"/>
      <c r="E107" s="39"/>
      <c r="F107" s="39"/>
      <c r="G107" s="39"/>
      <c r="H107" s="39"/>
      <c r="I107" s="39"/>
    </row>
    <row r="108" spans="1:16" x14ac:dyDescent="0.25">
      <c r="A108" s="39"/>
      <c r="B108" s="39"/>
      <c r="C108" s="39"/>
      <c r="D108" s="39"/>
      <c r="E108" s="39"/>
      <c r="F108" s="39"/>
      <c r="G108" s="39"/>
      <c r="H108" s="39"/>
      <c r="I108" s="39"/>
    </row>
    <row r="109" spans="1:16" x14ac:dyDescent="0.25">
      <c r="A109" s="74" t="s">
        <v>112</v>
      </c>
      <c r="C109" s="26"/>
      <c r="D109" s="26"/>
      <c r="E109" s="26"/>
      <c r="F109" s="26"/>
      <c r="I109" s="19"/>
    </row>
    <row r="110" spans="1:16" ht="21" x14ac:dyDescent="0.35">
      <c r="A110" s="83" t="s">
        <v>41</v>
      </c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</row>
    <row r="111" spans="1:16" ht="21" x14ac:dyDescent="0.35">
      <c r="A111" s="3"/>
      <c r="B111" s="3"/>
      <c r="C111" s="3"/>
      <c r="D111" s="3"/>
      <c r="E111" s="3"/>
    </row>
    <row r="112" spans="1:16" ht="21" x14ac:dyDescent="0.35">
      <c r="A112" s="4" t="s">
        <v>1</v>
      </c>
      <c r="B112" s="3"/>
      <c r="C112" s="3"/>
      <c r="D112" s="3"/>
      <c r="E112" s="3"/>
    </row>
    <row r="113" spans="1:16" ht="15.75" thickBot="1" x14ac:dyDescent="0.3">
      <c r="L113" s="1" t="s">
        <v>2</v>
      </c>
      <c r="M113" s="1" t="s">
        <v>3</v>
      </c>
    </row>
    <row r="114" spans="1:16" ht="15.75" thickBot="1" x14ac:dyDescent="0.3">
      <c r="A114" s="5" t="s">
        <v>4</v>
      </c>
      <c r="B114" s="6" t="s">
        <v>5</v>
      </c>
      <c r="C114" s="5" t="s">
        <v>6</v>
      </c>
      <c r="D114" s="6" t="s">
        <v>7</v>
      </c>
      <c r="E114" s="5" t="s">
        <v>8</v>
      </c>
      <c r="F114" s="7" t="s">
        <v>9</v>
      </c>
      <c r="G114" s="5" t="s">
        <v>10</v>
      </c>
      <c r="H114" s="5" t="s">
        <v>11</v>
      </c>
      <c r="I114" s="5" t="s">
        <v>12</v>
      </c>
      <c r="J114" s="6" t="s">
        <v>13</v>
      </c>
      <c r="K114" s="5" t="s">
        <v>14</v>
      </c>
      <c r="L114" s="5" t="s">
        <v>15</v>
      </c>
      <c r="M114" s="5" t="s">
        <v>15</v>
      </c>
      <c r="N114" s="6" t="s">
        <v>16</v>
      </c>
      <c r="O114" s="5" t="s">
        <v>17</v>
      </c>
      <c r="P114" s="5" t="s">
        <v>18</v>
      </c>
    </row>
    <row r="115" spans="1:16" ht="15.75" thickBot="1" x14ac:dyDescent="0.3">
      <c r="A115" s="9">
        <f>ROUND(63.6*'[2]Indexierung 2023 + Budget'!$B$15,1)</f>
        <v>69.400000000000006</v>
      </c>
      <c r="B115" s="9">
        <f>ROUND(74.3*'[2]Indexierung 2023 + Budget'!$B$15,1)</f>
        <v>81.099999999999994</v>
      </c>
      <c r="C115" s="9">
        <f>ROUND(40.2*'[2]Indexierung 2023 + Budget'!$B$15,1)</f>
        <v>43.9</v>
      </c>
      <c r="D115" s="9">
        <f>ROUND(55.5*'[2]Indexierung 2023 + Budget'!$B$15,1)</f>
        <v>60.6</v>
      </c>
      <c r="E115" s="9">
        <f>ROUND(122*'[2]Indexierung 2023 + Budget'!$B$15,1)</f>
        <v>133.1</v>
      </c>
      <c r="F115" s="9">
        <f>ROUND(82.5*'[2]Indexierung 2023 + Budget'!$B$15,1)</f>
        <v>90</v>
      </c>
      <c r="G115" s="10">
        <f>ROUND(108.7*'[2]Indexierung 2023 + Budget'!$B$15,1)</f>
        <v>118.6</v>
      </c>
      <c r="H115" s="10">
        <f>ROUND(72.4*'[2]Indexierung 2023 + Budget'!$B$15,1)</f>
        <v>79</v>
      </c>
      <c r="I115" s="9">
        <f>I6</f>
        <v>98.3</v>
      </c>
      <c r="J115" s="9">
        <f>ROUND(88.5*'[2]Indexierung 2023 + Budget'!$B$15,1)</f>
        <v>96.6</v>
      </c>
      <c r="K115" s="9">
        <f>ROUND(90.1*'[2]Indexierung 2023 + Budget'!$B$15,1)</f>
        <v>98.3</v>
      </c>
      <c r="L115" s="9">
        <f>ROUND(70.4*'[2]Indexierung 2023 + Budget'!$B$15,1)</f>
        <v>76.8</v>
      </c>
      <c r="M115" s="9">
        <f>ROUND(43.3*'[2]Indexierung 2023 + Budget'!$B$15,1)</f>
        <v>47.2</v>
      </c>
      <c r="N115" s="42"/>
      <c r="O115" s="9">
        <f>ROUND(78.6*'[2]Indexierung 2023 + Budget'!$B$15,1)</f>
        <v>85.8</v>
      </c>
      <c r="P115" s="9">
        <f>ROUND(55.5*'[2]Indexierung 2023 + Budget'!$B$15,1)</f>
        <v>60.6</v>
      </c>
    </row>
    <row r="116" spans="1:16" s="12" customFormat="1" ht="16.5" thickBot="1" x14ac:dyDescent="0.3">
      <c r="A116" s="13">
        <f>ROUND(7.7*'[2]Indexierung 2023 + Budget'!$B$11,1)</f>
        <v>8.4</v>
      </c>
      <c r="B116" s="13">
        <f>ROUND(8.7*'[2]Indexierung 2023 + Budget'!$B$11,1)</f>
        <v>9.5</v>
      </c>
      <c r="C116" s="13">
        <f>ROUND(6*'[2]Indexierung 2023 + Budget'!$B$11,1)</f>
        <v>6.6</v>
      </c>
      <c r="D116" s="13">
        <f>ROUND(6.7*'[2]Indexierung 2023 + Budget'!$B$11,1)</f>
        <v>7.3</v>
      </c>
      <c r="E116" s="13">
        <f>ROUND(25.6*'[2]Indexierung 2023 + Budget'!$B$11,1)</f>
        <v>28</v>
      </c>
      <c r="F116" s="13">
        <f>ROUND(11.8*'[2]Indexierung 2023 + Budget'!$B$11,1)</f>
        <v>12.9</v>
      </c>
      <c r="G116" s="80">
        <v>1</v>
      </c>
      <c r="H116" s="80">
        <v>1</v>
      </c>
      <c r="I116" s="13">
        <f>I7</f>
        <v>14.9</v>
      </c>
      <c r="J116" s="13">
        <f>ROUND(13.4*'[2]Indexierung 2023 + Budget'!$B$11,1)</f>
        <v>14.6</v>
      </c>
      <c r="K116" s="13">
        <f>ROUND(13.6*'[2]Indexierung 2023 + Budget'!$B$11,1)</f>
        <v>14.9</v>
      </c>
      <c r="L116" s="13">
        <f>ROUND(9.1*'[2]Indexierung 2023 + Budget'!$B$11,1)</f>
        <v>9.9</v>
      </c>
      <c r="M116" s="8"/>
      <c r="N116" s="15">
        <f>ROUND(60.1*'[2]Indexierung 2023 + Budget'!$B$15,1)</f>
        <v>65.599999999999994</v>
      </c>
      <c r="O116" s="13">
        <f>ROUND(8.6*'[2]Indexierung 2023 + Budget'!$B$11,1)</f>
        <v>9.4</v>
      </c>
      <c r="P116" s="13">
        <f>ROUND(6.7*'[2]Indexierung 2023 + Budget'!$B$11,1)</f>
        <v>7.3</v>
      </c>
    </row>
    <row r="117" spans="1:16" s="12" customFormat="1" ht="16.5" thickBot="1" x14ac:dyDescent="0.3">
      <c r="A117" s="15">
        <f t="shared" ref="A117:F117" si="2">SUM(A115:A116)</f>
        <v>77.800000000000011</v>
      </c>
      <c r="B117" s="15">
        <f t="shared" si="2"/>
        <v>90.6</v>
      </c>
      <c r="C117" s="15">
        <f t="shared" si="2"/>
        <v>50.5</v>
      </c>
      <c r="D117" s="15">
        <f t="shared" si="2"/>
        <v>67.900000000000006</v>
      </c>
      <c r="E117" s="15">
        <f t="shared" si="2"/>
        <v>161.1</v>
      </c>
      <c r="F117" s="15">
        <f t="shared" si="2"/>
        <v>102.9</v>
      </c>
      <c r="I117" s="15">
        <f>SUM(I115:I116)</f>
        <v>113.2</v>
      </c>
      <c r="J117" s="15">
        <f>SUM(J115:J116)</f>
        <v>111.19999999999999</v>
      </c>
      <c r="K117" s="15">
        <f>SUM(K115:K116)</f>
        <v>113.2</v>
      </c>
      <c r="L117" s="15">
        <f>SUM(L115:L116)</f>
        <v>86.7</v>
      </c>
      <c r="M117" s="15">
        <f>SUM(M115:M116)</f>
        <v>47.2</v>
      </c>
      <c r="N117" s="80">
        <v>1</v>
      </c>
      <c r="O117" s="15">
        <f>SUM(O115:O116)</f>
        <v>95.2</v>
      </c>
      <c r="P117" s="15">
        <f>SUM(P115:P116)</f>
        <v>67.900000000000006</v>
      </c>
    </row>
    <row r="118" spans="1:16" s="12" customFormat="1" ht="15.75" x14ac:dyDescent="0.25">
      <c r="A118" s="80">
        <v>0.75</v>
      </c>
      <c r="B118" s="80">
        <v>0.9</v>
      </c>
      <c r="C118" s="80">
        <v>0</v>
      </c>
      <c r="D118" s="80">
        <v>0.3</v>
      </c>
      <c r="E118" s="80">
        <v>0.8</v>
      </c>
      <c r="F118" s="80">
        <v>1</v>
      </c>
      <c r="G118" s="81"/>
      <c r="H118" s="81"/>
      <c r="I118" s="80">
        <v>1</v>
      </c>
      <c r="J118" s="18">
        <f>J115+28.9*'[2]Indexierung 2023 + Budget'!$B$11</f>
        <v>128.15879999999999</v>
      </c>
      <c r="K118" s="80">
        <v>1</v>
      </c>
      <c r="L118" s="80">
        <v>1</v>
      </c>
      <c r="M118" s="39"/>
      <c r="O118" s="80">
        <v>0.8</v>
      </c>
      <c r="P118" s="80">
        <v>0.3</v>
      </c>
    </row>
    <row r="119" spans="1:16" s="12" customFormat="1" ht="16.5" thickBot="1" x14ac:dyDescent="0.3">
      <c r="A119" s="39"/>
      <c r="B119" s="39"/>
      <c r="C119" s="39"/>
      <c r="D119" s="39"/>
      <c r="E119" s="39"/>
      <c r="F119" s="39"/>
      <c r="G119" s="39"/>
      <c r="H119" s="39"/>
      <c r="I119" s="39"/>
      <c r="J119" s="43" t="s">
        <v>42</v>
      </c>
      <c r="K119" s="39"/>
      <c r="L119" s="39"/>
      <c r="M119" s="39"/>
      <c r="N119" s="39"/>
      <c r="O119" s="39"/>
      <c r="P119" s="39"/>
    </row>
    <row r="120" spans="1:16" ht="18.75" x14ac:dyDescent="0.3">
      <c r="A120" s="4" t="s">
        <v>19</v>
      </c>
      <c r="J120" s="80">
        <v>0.85</v>
      </c>
      <c r="K120" s="39"/>
      <c r="L120" s="44"/>
    </row>
    <row r="121" spans="1:16" ht="15.75" thickBot="1" x14ac:dyDescent="0.3">
      <c r="O121" s="21"/>
    </row>
    <row r="122" spans="1:16" ht="15.75" thickBot="1" x14ac:dyDescent="0.3">
      <c r="A122" s="5" t="s">
        <v>21</v>
      </c>
      <c r="B122" s="5" t="s">
        <v>22</v>
      </c>
      <c r="C122" s="5" t="s">
        <v>23</v>
      </c>
      <c r="D122" s="5" t="s">
        <v>24</v>
      </c>
      <c r="E122" s="5" t="s">
        <v>25</v>
      </c>
      <c r="F122" s="5" t="s">
        <v>26</v>
      </c>
      <c r="G122" s="5" t="s">
        <v>27</v>
      </c>
      <c r="H122" s="5" t="s">
        <v>28</v>
      </c>
      <c r="I122" s="5" t="s">
        <v>29</v>
      </c>
      <c r="J122" s="5" t="s">
        <v>30</v>
      </c>
      <c r="K122" s="5" t="s">
        <v>31</v>
      </c>
    </row>
    <row r="123" spans="1:16" ht="16.5" thickBot="1" x14ac:dyDescent="0.3">
      <c r="A123" s="15">
        <f>ROUND(310.9*'[2]Indexierung 2023 + Budget'!$B$15,1)</f>
        <v>339.2</v>
      </c>
      <c r="B123" s="15">
        <f>ROUND(135.5*'[2]Indexierung 2023 + Budget'!$B$15,1)</f>
        <v>147.80000000000001</v>
      </c>
      <c r="C123" s="15">
        <f>ROUND(110.9*'[2]Indexierung 2023 + Budget'!$B$15,1)</f>
        <v>121</v>
      </c>
      <c r="D123" s="15">
        <f>ROUND(105.2*'[2]Indexierung 2023 + Budget'!$B$15,1)</f>
        <v>114.8</v>
      </c>
      <c r="E123" s="15">
        <f>ROUND(53.2*'[2]Indexierung 2023 + Budget'!$B$15,1)</f>
        <v>58</v>
      </c>
      <c r="F123" s="15">
        <f>ROUND(128.9*'[2]Indexierung 2023 + Budget'!$B$15,1)</f>
        <v>140.6</v>
      </c>
      <c r="G123" s="15">
        <f>G13</f>
        <v>87</v>
      </c>
      <c r="H123" s="15">
        <f>H13</f>
        <v>173.8</v>
      </c>
      <c r="I123" s="15">
        <f>ROUND(213.5*'[2]Indexierung 2023 + Budget'!$B$15,1)</f>
        <v>232.9</v>
      </c>
      <c r="J123" s="15">
        <f>ROUND(139.8*'[2]Indexierung 2023 + Budget'!$B$15,1)</f>
        <v>152.5</v>
      </c>
      <c r="K123" s="15">
        <f>ROUND(327.7*'[2]Indexierung 2023 + Budget'!$B$15,1)</f>
        <v>357.5</v>
      </c>
    </row>
    <row r="124" spans="1:16" ht="16.5" thickBot="1" x14ac:dyDescent="0.3">
      <c r="A124" s="80">
        <v>1</v>
      </c>
      <c r="B124" s="80">
        <v>0.75</v>
      </c>
      <c r="C124" s="77" t="s">
        <v>124</v>
      </c>
      <c r="D124" s="5" t="s">
        <v>33</v>
      </c>
      <c r="E124" s="80">
        <v>0.7</v>
      </c>
      <c r="F124" s="80">
        <v>0.75</v>
      </c>
      <c r="G124" s="82">
        <v>1</v>
      </c>
      <c r="H124" s="5" t="s">
        <v>34</v>
      </c>
      <c r="I124" s="5" t="s">
        <v>35</v>
      </c>
      <c r="J124" s="80">
        <v>0.75</v>
      </c>
      <c r="K124" s="80">
        <v>0.9</v>
      </c>
    </row>
    <row r="125" spans="1:16" ht="16.5" thickBot="1" x14ac:dyDescent="0.3">
      <c r="C125" s="5" t="s">
        <v>32</v>
      </c>
      <c r="D125" s="24">
        <f>ROUND(D123*1.3,1)</f>
        <v>149.19999999999999</v>
      </c>
      <c r="E125" s="22"/>
      <c r="G125" s="22"/>
      <c r="H125" s="15">
        <f>H15</f>
        <v>225.9</v>
      </c>
      <c r="I125" s="24">
        <f>ROUND(I123*1.3,1)</f>
        <v>302.8</v>
      </c>
    </row>
    <row r="126" spans="1:16" ht="16.5" thickBot="1" x14ac:dyDescent="0.3">
      <c r="C126" s="24">
        <f>ROUND(C123*1.3,1)</f>
        <v>157.30000000000001</v>
      </c>
      <c r="D126" s="80">
        <v>0.7</v>
      </c>
      <c r="F126" s="25"/>
      <c r="H126" s="82">
        <v>1</v>
      </c>
      <c r="I126" s="80">
        <v>0.7</v>
      </c>
    </row>
    <row r="127" spans="1:16" ht="16.5" thickBot="1" x14ac:dyDescent="0.3">
      <c r="C127" s="79" t="s">
        <v>125</v>
      </c>
      <c r="D127" s="17"/>
      <c r="E127" s="17"/>
      <c r="F127" s="17"/>
      <c r="H127" s="25"/>
      <c r="J127" s="30"/>
      <c r="K127" s="17"/>
    </row>
    <row r="128" spans="1:16" x14ac:dyDescent="0.25">
      <c r="C128" s="80">
        <v>0.7</v>
      </c>
    </row>
    <row r="129" spans="1:10" x14ac:dyDescent="0.25">
      <c r="A129" s="74" t="s">
        <v>112</v>
      </c>
    </row>
    <row r="131" spans="1:10" x14ac:dyDescent="0.25">
      <c r="J131" s="21"/>
    </row>
  </sheetData>
  <mergeCells count="7">
    <mergeCell ref="A110:P110"/>
    <mergeCell ref="A1:P1"/>
    <mergeCell ref="A20:P20"/>
    <mergeCell ref="A40:P40"/>
    <mergeCell ref="A60:P60"/>
    <mergeCell ref="A79:P79"/>
    <mergeCell ref="A98:P98"/>
  </mergeCells>
  <pageMargins left="0.70866141732283472" right="0.70866141732283472" top="0.78740157480314965" bottom="0.78740157480314965" header="0.31496062992125984" footer="0.31496062992125984"/>
  <pageSetup paperSize="8" scale="77" orientation="portrait" r:id="rId1"/>
  <headerFooter>
    <oddHeader>&amp;C&amp;A</oddHeader>
    <oddFooter>&amp;LWirtschaftliche Angelegenheiten&amp;R&amp;P</oddFooter>
  </headerFooter>
  <rowBreaks count="1" manualBreakCount="1">
    <brk id="78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showGridLines="0" view="pageBreakPreview" zoomScale="60" zoomScaleNormal="100" workbookViewId="0">
      <selection activeCell="A28" sqref="A28"/>
    </sheetView>
  </sheetViews>
  <sheetFormatPr baseColWidth="10" defaultRowHeight="12.75" x14ac:dyDescent="0.2"/>
  <cols>
    <col min="1" max="1" width="72.5703125" bestFit="1" customWidth="1"/>
    <col min="2" max="2" width="16" bestFit="1" customWidth="1"/>
  </cols>
  <sheetData>
    <row r="1" spans="1:2" x14ac:dyDescent="0.2">
      <c r="A1" s="84" t="s">
        <v>43</v>
      </c>
      <c r="B1" s="85"/>
    </row>
    <row r="2" spans="1:2" ht="13.5" thickBot="1" x14ac:dyDescent="0.25">
      <c r="A2" s="86"/>
      <c r="B2" s="87"/>
    </row>
    <row r="3" spans="1:2" ht="15.75" thickBot="1" x14ac:dyDescent="0.3">
      <c r="A3" s="45"/>
      <c r="B3" s="45"/>
    </row>
    <row r="4" spans="1:2" ht="16.5" thickBot="1" x14ac:dyDescent="0.3">
      <c r="A4" s="46" t="s">
        <v>44</v>
      </c>
      <c r="B4" s="47" t="s">
        <v>45</v>
      </c>
    </row>
    <row r="5" spans="1:2" ht="15.75" x14ac:dyDescent="0.25">
      <c r="A5" s="48"/>
      <c r="B5" s="49"/>
    </row>
    <row r="6" spans="1:2" ht="15.75" x14ac:dyDescent="0.25">
      <c r="A6" s="50" t="s">
        <v>46</v>
      </c>
      <c r="B6" s="51" t="s">
        <v>47</v>
      </c>
    </row>
    <row r="7" spans="1:2" ht="15.75" x14ac:dyDescent="0.25">
      <c r="A7" s="53"/>
      <c r="B7" s="54"/>
    </row>
    <row r="8" spans="1:2" ht="15.75" x14ac:dyDescent="0.25">
      <c r="A8" s="50" t="s">
        <v>48</v>
      </c>
      <c r="B8" s="51" t="s">
        <v>49</v>
      </c>
    </row>
    <row r="9" spans="1:2" ht="15.75" x14ac:dyDescent="0.25">
      <c r="A9" s="53"/>
      <c r="B9" s="54"/>
    </row>
    <row r="10" spans="1:2" ht="15.75" x14ac:dyDescent="0.25">
      <c r="A10" s="50" t="s">
        <v>50</v>
      </c>
      <c r="B10" s="51" t="s">
        <v>51</v>
      </c>
    </row>
    <row r="11" spans="1:2" ht="15.75" x14ac:dyDescent="0.25">
      <c r="A11" s="53"/>
      <c r="B11" s="54"/>
    </row>
    <row r="12" spans="1:2" ht="16.5" thickBot="1" x14ac:dyDescent="0.3">
      <c r="A12" s="55" t="s">
        <v>52</v>
      </c>
      <c r="B12" s="56" t="s">
        <v>53</v>
      </c>
    </row>
    <row r="13" spans="1:2" ht="16.5" thickBot="1" x14ac:dyDescent="0.3">
      <c r="A13" s="45"/>
      <c r="B13" s="52"/>
    </row>
    <row r="14" spans="1:2" ht="16.5" thickBot="1" x14ac:dyDescent="0.3">
      <c r="A14" s="57" t="s">
        <v>54</v>
      </c>
      <c r="B14" s="58" t="s">
        <v>45</v>
      </c>
    </row>
    <row r="15" spans="1:2" ht="15.75" x14ac:dyDescent="0.25">
      <c r="A15" s="48"/>
      <c r="B15" s="54"/>
    </row>
    <row r="16" spans="1:2" ht="15.75" x14ac:dyDescent="0.25">
      <c r="A16" s="50" t="s">
        <v>55</v>
      </c>
      <c r="B16" s="51" t="s">
        <v>56</v>
      </c>
    </row>
    <row r="17" spans="1:2" ht="15.75" x14ac:dyDescent="0.25">
      <c r="A17" s="53"/>
      <c r="B17" s="54"/>
    </row>
    <row r="18" spans="1:2" ht="16.5" thickBot="1" x14ac:dyDescent="0.3">
      <c r="A18" s="55" t="s">
        <v>57</v>
      </c>
      <c r="B18" s="56" t="s">
        <v>58</v>
      </c>
    </row>
    <row r="19" spans="1:2" ht="16.5" thickBot="1" x14ac:dyDescent="0.3">
      <c r="A19" s="59"/>
      <c r="B19" s="52"/>
    </row>
    <row r="20" spans="1:2" ht="16.5" thickBot="1" x14ac:dyDescent="0.3">
      <c r="A20" s="60" t="s">
        <v>59</v>
      </c>
      <c r="B20" s="61" t="s">
        <v>45</v>
      </c>
    </row>
    <row r="21" spans="1:2" ht="15.75" x14ac:dyDescent="0.25">
      <c r="A21" s="62"/>
      <c r="B21" s="54"/>
    </row>
    <row r="22" spans="1:2" ht="15.75" x14ac:dyDescent="0.25">
      <c r="A22" s="53" t="s">
        <v>60</v>
      </c>
      <c r="B22" s="88" t="s">
        <v>62</v>
      </c>
    </row>
    <row r="23" spans="1:2" ht="15.75" x14ac:dyDescent="0.25">
      <c r="A23" s="50" t="s">
        <v>61</v>
      </c>
      <c r="B23" s="89"/>
    </row>
    <row r="24" spans="1:2" ht="15.75" x14ac:dyDescent="0.25">
      <c r="A24" s="53"/>
      <c r="B24" s="54"/>
    </row>
    <row r="25" spans="1:2" ht="15.75" x14ac:dyDescent="0.25">
      <c r="A25" s="53" t="s">
        <v>63</v>
      </c>
      <c r="B25" s="88" t="s">
        <v>64</v>
      </c>
    </row>
    <row r="26" spans="1:2" ht="15.75" x14ac:dyDescent="0.25">
      <c r="A26" s="50" t="s">
        <v>61</v>
      </c>
      <c r="B26" s="89"/>
    </row>
    <row r="27" spans="1:2" ht="15.75" x14ac:dyDescent="0.25">
      <c r="A27" s="53"/>
      <c r="B27" s="54"/>
    </row>
    <row r="28" spans="1:2" ht="15.75" x14ac:dyDescent="0.25">
      <c r="A28" s="50" t="s">
        <v>65</v>
      </c>
      <c r="B28" s="51" t="s">
        <v>66</v>
      </c>
    </row>
    <row r="29" spans="1:2" ht="15.75" x14ac:dyDescent="0.25">
      <c r="A29" s="53"/>
      <c r="B29" s="54"/>
    </row>
    <row r="30" spans="1:2" ht="15.75" x14ac:dyDescent="0.25">
      <c r="A30" s="50" t="s">
        <v>67</v>
      </c>
      <c r="B30" s="51" t="s">
        <v>68</v>
      </c>
    </row>
    <row r="31" spans="1:2" ht="15.75" x14ac:dyDescent="0.25">
      <c r="A31" s="53"/>
      <c r="B31" s="54"/>
    </row>
    <row r="32" spans="1:2" ht="15.75" x14ac:dyDescent="0.25">
      <c r="A32" s="53" t="s">
        <v>69</v>
      </c>
      <c r="B32" s="88" t="s">
        <v>71</v>
      </c>
    </row>
    <row r="33" spans="1:2" ht="15.75" x14ac:dyDescent="0.25">
      <c r="A33" s="50" t="s">
        <v>70</v>
      </c>
      <c r="B33" s="89"/>
    </row>
    <row r="34" spans="1:2" ht="15.75" x14ac:dyDescent="0.25">
      <c r="A34" s="53"/>
      <c r="B34" s="54"/>
    </row>
    <row r="35" spans="1:2" ht="15.75" x14ac:dyDescent="0.25">
      <c r="A35" s="50" t="s">
        <v>72</v>
      </c>
      <c r="B35" s="51" t="s">
        <v>73</v>
      </c>
    </row>
    <row r="36" spans="1:2" ht="15.75" x14ac:dyDescent="0.25">
      <c r="A36" s="53"/>
      <c r="B36" s="54"/>
    </row>
    <row r="37" spans="1:2" ht="16.5" thickBot="1" x14ac:dyDescent="0.3">
      <c r="A37" s="55" t="s">
        <v>74</v>
      </c>
      <c r="B37" s="56" t="s">
        <v>75</v>
      </c>
    </row>
    <row r="38" spans="1:2" ht="13.5" thickBot="1" x14ac:dyDescent="0.25">
      <c r="A38" s="59"/>
      <c r="B38" s="59"/>
    </row>
    <row r="39" spans="1:2" ht="16.5" thickBot="1" x14ac:dyDescent="0.3">
      <c r="A39" s="63" t="s">
        <v>76</v>
      </c>
      <c r="B39" s="64" t="s">
        <v>45</v>
      </c>
    </row>
    <row r="40" spans="1:2" x14ac:dyDescent="0.2">
      <c r="A40" s="62"/>
      <c r="B40" s="65"/>
    </row>
    <row r="41" spans="1:2" ht="15.75" x14ac:dyDescent="0.25">
      <c r="A41" s="50" t="s">
        <v>77</v>
      </c>
      <c r="B41" s="51" t="s">
        <v>78</v>
      </c>
    </row>
    <row r="42" spans="1:2" x14ac:dyDescent="0.2">
      <c r="A42" s="66"/>
      <c r="B42" s="65"/>
    </row>
    <row r="43" spans="1:2" ht="15.75" x14ac:dyDescent="0.25">
      <c r="A43" s="50" t="s">
        <v>79</v>
      </c>
      <c r="B43" s="51" t="s">
        <v>80</v>
      </c>
    </row>
    <row r="44" spans="1:2" x14ac:dyDescent="0.2">
      <c r="A44" s="66"/>
      <c r="B44" s="65"/>
    </row>
    <row r="45" spans="1:2" ht="15.75" x14ac:dyDescent="0.25">
      <c r="A45" s="53" t="s">
        <v>81</v>
      </c>
      <c r="B45" s="88" t="s">
        <v>83</v>
      </c>
    </row>
    <row r="46" spans="1:2" ht="16.5" thickBot="1" x14ac:dyDescent="0.3">
      <c r="A46" s="55" t="s">
        <v>82</v>
      </c>
      <c r="B46" s="90"/>
    </row>
    <row r="47" spans="1:2" ht="13.5" thickBot="1" x14ac:dyDescent="0.25">
      <c r="A47" s="59"/>
      <c r="B47" s="59"/>
    </row>
    <row r="48" spans="1:2" ht="16.5" thickBot="1" x14ac:dyDescent="0.3">
      <c r="A48" s="67" t="s">
        <v>84</v>
      </c>
      <c r="B48" s="68" t="s">
        <v>45</v>
      </c>
    </row>
    <row r="49" spans="1:2" ht="15.75" x14ac:dyDescent="0.25">
      <c r="A49" s="62"/>
      <c r="B49" s="54"/>
    </row>
    <row r="50" spans="1:2" ht="15.75" x14ac:dyDescent="0.25">
      <c r="A50" s="50" t="s">
        <v>85</v>
      </c>
      <c r="B50" s="51" t="s">
        <v>86</v>
      </c>
    </row>
    <row r="51" spans="1:2" ht="15.75" x14ac:dyDescent="0.25">
      <c r="A51" s="66"/>
      <c r="B51" s="54"/>
    </row>
    <row r="52" spans="1:2" ht="15.75" x14ac:dyDescent="0.25">
      <c r="A52" s="50" t="s">
        <v>87</v>
      </c>
      <c r="B52" s="51" t="s">
        <v>88</v>
      </c>
    </row>
    <row r="53" spans="1:2" ht="15.75" x14ac:dyDescent="0.25">
      <c r="A53" s="66"/>
      <c r="B53" s="54"/>
    </row>
    <row r="54" spans="1:2" ht="15.75" x14ac:dyDescent="0.25">
      <c r="A54" s="50" t="s">
        <v>89</v>
      </c>
      <c r="B54" s="51" t="s">
        <v>90</v>
      </c>
    </row>
    <row r="55" spans="1:2" ht="15.75" x14ac:dyDescent="0.25">
      <c r="A55" s="66"/>
      <c r="B55" s="54"/>
    </row>
    <row r="56" spans="1:2" ht="15.75" x14ac:dyDescent="0.25">
      <c r="A56" s="50" t="s">
        <v>89</v>
      </c>
      <c r="B56" s="51" t="s">
        <v>91</v>
      </c>
    </row>
    <row r="57" spans="1:2" ht="15.75" x14ac:dyDescent="0.25">
      <c r="A57" s="66"/>
      <c r="B57" s="54"/>
    </row>
    <row r="58" spans="1:2" ht="15.75" x14ac:dyDescent="0.25">
      <c r="A58" s="50" t="s">
        <v>92</v>
      </c>
      <c r="B58" s="51" t="s">
        <v>93</v>
      </c>
    </row>
    <row r="59" spans="1:2" ht="15.75" x14ac:dyDescent="0.25">
      <c r="A59" s="66"/>
      <c r="B59" s="54"/>
    </row>
    <row r="60" spans="1:2" ht="15.75" x14ac:dyDescent="0.25">
      <c r="A60" s="50" t="s">
        <v>94</v>
      </c>
      <c r="B60" s="51" t="s">
        <v>95</v>
      </c>
    </row>
    <row r="61" spans="1:2" ht="15.75" x14ac:dyDescent="0.25">
      <c r="A61" s="66"/>
      <c r="B61" s="54"/>
    </row>
    <row r="62" spans="1:2" ht="16.5" thickBot="1" x14ac:dyDescent="0.3">
      <c r="A62" s="55" t="s">
        <v>96</v>
      </c>
      <c r="B62" s="56" t="s">
        <v>97</v>
      </c>
    </row>
    <row r="63" spans="1:2" ht="16.5" thickBot="1" x14ac:dyDescent="0.3">
      <c r="A63" s="59"/>
      <c r="B63" s="52"/>
    </row>
    <row r="64" spans="1:2" ht="16.5" thickBot="1" x14ac:dyDescent="0.3">
      <c r="A64" s="69" t="s">
        <v>98</v>
      </c>
      <c r="B64" s="70" t="s">
        <v>45</v>
      </c>
    </row>
    <row r="65" spans="1:2" ht="15.75" x14ac:dyDescent="0.25">
      <c r="A65" s="62"/>
      <c r="B65" s="54"/>
    </row>
    <row r="66" spans="1:2" ht="15.75" x14ac:dyDescent="0.25">
      <c r="A66" s="50" t="s">
        <v>99</v>
      </c>
      <c r="B66" s="51" t="s">
        <v>100</v>
      </c>
    </row>
    <row r="67" spans="1:2" ht="15.75" x14ac:dyDescent="0.25">
      <c r="A67" s="66"/>
      <c r="B67" s="54"/>
    </row>
    <row r="68" spans="1:2" ht="15.75" x14ac:dyDescent="0.25">
      <c r="A68" s="50" t="s">
        <v>101</v>
      </c>
      <c r="B68" s="51" t="s">
        <v>102</v>
      </c>
    </row>
    <row r="69" spans="1:2" ht="15.75" x14ac:dyDescent="0.25">
      <c r="A69" s="66"/>
      <c r="B69" s="54"/>
    </row>
    <row r="70" spans="1:2" ht="15.75" x14ac:dyDescent="0.25">
      <c r="A70" s="50" t="s">
        <v>103</v>
      </c>
      <c r="B70" s="51" t="s">
        <v>104</v>
      </c>
    </row>
    <row r="71" spans="1:2" ht="15.75" x14ac:dyDescent="0.25">
      <c r="A71" s="66"/>
      <c r="B71" s="54"/>
    </row>
    <row r="72" spans="1:2" ht="15.75" x14ac:dyDescent="0.25">
      <c r="A72" s="50" t="s">
        <v>105</v>
      </c>
      <c r="B72" s="51" t="s">
        <v>106</v>
      </c>
    </row>
    <row r="73" spans="1:2" ht="15.75" x14ac:dyDescent="0.25">
      <c r="A73" s="66"/>
      <c r="B73" s="54"/>
    </row>
    <row r="74" spans="1:2" ht="16.5" thickBot="1" x14ac:dyDescent="0.3">
      <c r="A74" s="55" t="s">
        <v>107</v>
      </c>
      <c r="B74" s="56" t="s">
        <v>108</v>
      </c>
    </row>
    <row r="75" spans="1:2" x14ac:dyDescent="0.2">
      <c r="A75" s="59"/>
      <c r="B75" s="59"/>
    </row>
    <row r="76" spans="1:2" ht="15.75" x14ac:dyDescent="0.25">
      <c r="A76" s="59"/>
      <c r="B76" s="52"/>
    </row>
    <row r="77" spans="1:2" ht="15.75" x14ac:dyDescent="0.2">
      <c r="A77" s="71" t="s">
        <v>109</v>
      </c>
      <c r="B77" s="59"/>
    </row>
    <row r="78" spans="1:2" ht="30" x14ac:dyDescent="0.2">
      <c r="A78" s="72" t="s">
        <v>110</v>
      </c>
      <c r="B78" s="59"/>
    </row>
  </sheetData>
  <sheetProtection algorithmName="SHA-512" hashValue="sO5W6BiMFhN9T2v+NVkTriygxwoVfRsuTKwbfyMgCY6Kyqz/mpg0E7mmge15pRAajXV+mRucb4J5+U2cO2Z2WA==" saltValue="21FaxXGGMPV3HIvCHdLynQ==" spinCount="100000" sheet="1" objects="1" scenarios="1"/>
  <mergeCells count="5">
    <mergeCell ref="A1:B2"/>
    <mergeCell ref="B22:B23"/>
    <mergeCell ref="B25:B26"/>
    <mergeCell ref="B32:B33"/>
    <mergeCell ref="B45:B46"/>
  </mergeCells>
  <pageMargins left="0.7" right="0.7" top="0.78740157499999996" bottom="0.78740157499999996" header="0.3" footer="0.3"/>
  <pageSetup paperSize="9" scale="95" orientation="portrait" verticalDpi="0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Normkostentarife ab 01.07.2024</vt:lpstr>
      <vt:lpstr>Legende Tarifcodes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ZAGRAJSEK Lucas</dc:creator>
  <cp:lastModifiedBy>MUGLACH Natascha</cp:lastModifiedBy>
  <cp:lastPrinted>2024-10-31T11:55:54Z</cp:lastPrinted>
  <dcterms:created xsi:type="dcterms:W3CDTF">2024-01-24T14:18:53Z</dcterms:created>
  <dcterms:modified xsi:type="dcterms:W3CDTF">2024-10-31T11:56:19Z</dcterms:modified>
</cp:coreProperties>
</file>